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0ST116yPzJe+6W4t0aACk04NdzG9LhBcw8X7TVnhs/EY4OTVXJy8gMUlm4D8dZLuWKfwRauSV5/m0HWTbFdWPg==" workbookSaltValue="LVK/ly+PdQcD7jZncSvt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M18" i="2"/>
  <c r="AO12" i="11"/>
  <c r="AN12" i="11"/>
  <c r="E12" i="6"/>
  <c r="F13" i="7"/>
  <c r="T13" i="16"/>
  <c r="Q17" i="17"/>
  <c r="BI9" i="11"/>
  <c r="S10" i="17"/>
  <c r="Q15" i="17"/>
  <c r="BF15" i="11"/>
  <c r="AQ12" i="21"/>
  <c r="BL16" i="11"/>
  <c r="T13" i="20"/>
  <c r="BG12" i="8"/>
  <c r="K12" i="7" s="1"/>
  <c r="BD9" i="8"/>
  <c r="X12" i="17"/>
  <c r="L12" i="2"/>
  <c r="L9" i="2"/>
  <c r="BF15" i="13"/>
  <c r="BG15" i="13"/>
  <c r="BA18" i="13"/>
  <c r="BE15" i="13"/>
  <c r="BF16" i="13"/>
  <c r="W20" i="20"/>
  <c r="AA20" i="20"/>
  <c r="M20" i="20"/>
  <c r="AV20" i="20"/>
  <c r="AP20" i="20"/>
  <c r="AO17" i="11" l="1"/>
  <c r="BD17" i="8"/>
  <c r="G18" i="12"/>
  <c r="F15" i="17"/>
  <c r="AQ15" i="17" s="1"/>
  <c r="T19" i="8"/>
  <c r="H13" i="12"/>
  <c r="BG10" i="8"/>
  <c r="BE9" i="8"/>
  <c r="I9" i="7" s="1"/>
  <c r="X12" i="21"/>
  <c r="V15" i="11"/>
  <c r="BJ17" i="11"/>
  <c r="BH15" i="11"/>
  <c r="Q17" i="20"/>
  <c r="Q18" i="20" s="1"/>
  <c r="V11" i="16"/>
  <c r="S17" i="16"/>
  <c r="BM12" i="11"/>
  <c r="BJ15" i="11"/>
  <c r="BG15" i="11"/>
  <c r="T17" i="16"/>
  <c r="BW12" i="20"/>
  <c r="BW10" i="20"/>
  <c r="BU16" i="17"/>
  <c r="AZ12" i="11"/>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AP16" i="20"/>
  <c r="BH9" i="16"/>
  <c r="BH15" i="16"/>
  <c r="BF17" i="11"/>
  <c r="BF16" i="11"/>
  <c r="BL12" i="11"/>
  <c r="AM11" i="11"/>
  <c r="BK11" i="11"/>
  <c r="AP10" i="21"/>
  <c r="BH9" i="11"/>
  <c r="BI15" i="11"/>
  <c r="BJ12" i="11"/>
  <c r="AP15" i="20"/>
  <c r="R17" i="20"/>
  <c r="R18" i="20" s="1"/>
  <c r="BK17" i="11"/>
  <c r="T15" i="16"/>
  <c r="BU11" i="17"/>
  <c r="BV17" i="16"/>
  <c r="BU10" i="17"/>
  <c r="BV12" i="16"/>
  <c r="BV11" i="16"/>
  <c r="BW11" i="20"/>
  <c r="U10" i="17"/>
  <c r="V12" i="16"/>
  <c r="BV9" i="16"/>
  <c r="AZ16" i="11"/>
  <c r="U9" i="17"/>
  <c r="U19" i="17" s="1"/>
  <c r="AA10" i="16"/>
  <c r="BJ16" i="11"/>
  <c r="BH16" i="11"/>
  <c r="BM17" i="11"/>
  <c r="BH10" i="16"/>
  <c r="AQ10" i="21"/>
  <c r="BH10" i="11"/>
  <c r="BG12" i="11"/>
  <c r="F15" i="16"/>
  <c r="BL15" i="16" s="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<sst xmlns="http://schemas.openxmlformats.org/spreadsheetml/2006/main" count="2088" uniqueCount="916">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</sst>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Ba+VpezY7RU7PAeVD0seote7dM5Ut2tDfeYWG9OUYSq27iw71sKE1rylOODnpoW1yHXIrIab55w4wGz8Jku1A==" saltValue="3HVw2h8ZIXU8VfoNqj6a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15.985952425547856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176</v>
      </c>
      <c r="D10" s="225">
        <f>IF(ISNUMBER(Datos!I10),Datos!I10," - ")</f>
        <v>176</v>
      </c>
      <c r="E10" s="226">
        <f>IF(ISNUMBER(Datos!J10),Datos!J10," - ")</f>
        <v>53</v>
      </c>
      <c r="F10" s="226">
        <f>IF(ISNUMBER(Datos!K10),Datos!K10," - ")</f>
        <v>54</v>
      </c>
      <c r="G10" s="1034" t="str">
        <f>IF(Datos!E10&lt;&gt;"",Datos!E10,Datos!D10)</f>
        <v>37</v>
      </c>
      <c r="H10" s="227">
        <f>IF(ISNUMBER(Datos!L10),Datos!L10," - ")</f>
        <v>175</v>
      </c>
      <c r="I10" s="1044" t="str">
        <f>IF(ISNUMBER(Datos!AS10/Datos!BM10),Datos!AS10/Datos!BM10," - ")</f>
        <v xml:space="preserve"> - </v>
      </c>
      <c r="J10" s="1045">
        <f>IF(ISNUMBER(Datos!BY10/Datos!CN10),Datos!BY10/Datos!CN10," - ")</f>
        <v>0</v>
      </c>
      <c r="K10" s="230">
        <f t="shared" ref="K10:K12" si="1">IF(ISNUMBER((E10-F10)/C10),(E10-F10)/C10," - ")</f>
        <v>-5.681818181818182E-3</v>
      </c>
      <c r="L10" s="1025">
        <f>IF(ISNUMBER(NºAsuntos!I10/NºAsuntos!G10),(NºAsuntos!I10/NºAsuntos!G10)*11," - ")</f>
        <v>35.648148148148152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9.9502074688796682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176</v>
      </c>
      <c r="D13" s="1049">
        <f>SUBTOTAL(9,D9:D12)</f>
        <v>176</v>
      </c>
      <c r="E13" s="1050">
        <f>SUBTOTAL(9,E9:E12)</f>
        <v>53</v>
      </c>
      <c r="F13" s="1051">
        <f>SUBTOTAL(9,F9:F12)</f>
        <v>54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7711</v>
      </c>
      <c r="D15" s="225">
        <f>IF(ISNUMBER(IF(D_I="SI",Datos!I15,Datos!I15+Datos!AC15)),IF(D_I="SI",Datos!I15,Datos!I15+Datos!AC15)," - ")</f>
        <v>7699</v>
      </c>
      <c r="E15" s="226">
        <f>IF(ISNUMBER(IF(D_I="SI",Datos!J15,Datos!J15+Datos!AD15)),IF(D_I="SI",Datos!J15,Datos!J15+Datos!AD15)," - ")</f>
        <v>3461</v>
      </c>
      <c r="F15" s="226">
        <f>IF(ISNUMBER(IF(D_I="SI",Datos!K15,Datos!K15+Datos!AE15)),IF(D_I="SI",Datos!K15,Datos!K15+Datos!AE15)," - ")</f>
        <v>4119</v>
      </c>
      <c r="G15" s="1034" t="str">
        <f>IF(Datos!E15&lt;&gt;"",Datos!E15,Datos!D15)</f>
        <v>03</v>
      </c>
      <c r="H15" s="227">
        <f>IF(ISNUMBER(IF(D_I="SI",Datos!L15,Datos!L15+Datos!AF15)),IF(D_I="SI",Datos!L15,Datos!L15+Datos!AF15)," - ")</f>
        <v>7053</v>
      </c>
      <c r="I15" s="1044" t="str">
        <f>IF(ISNUMBER(Datos!AS15/Datos!BM15),Datos!AS15/Datos!BM15," - ")</f>
        <v xml:space="preserve"> - </v>
      </c>
      <c r="J15" s="1045">
        <f>IF(ISNUMBER(Datos!BY15/Datos!CN15),Datos!BY15/Datos!CN15," - ")</f>
        <v>0</v>
      </c>
      <c r="K15" s="230">
        <f t="shared" ref="K15:K17" si="3">IF(ISNUMBER((E15-F15)/C15),(E15-F15)/C15," - ")</f>
        <v>-8.5332641680715859E-2</v>
      </c>
      <c r="L15" s="1025">
        <f>IF(ISNUMBER(NºAsuntos!I15/NºAsuntos!G15),(NºAsuntos!I15/NºAsuntos!G15)*11," - ")</f>
        <v>18.835396941005097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460</v>
      </c>
      <c r="D17" s="225">
        <f>IF(ISNUMBER(IF(D_I="SI",Datos!I17,Datos!I17+Datos!AC17)),IF(D_I="SI",Datos!I17,Datos!I17+Datos!AC17)," - ")</f>
        <v>460</v>
      </c>
      <c r="E17" s="226">
        <f>IF(ISNUMBER(IF(D_I="SI",Datos!J17,Datos!J17+Datos!AD17)),IF(D_I="SI",Datos!J17,Datos!J17+Datos!AD17)," - ")</f>
        <v>309</v>
      </c>
      <c r="F17" s="226">
        <f>IF(ISNUMBER(IF(D_I="SI",Datos!K17,Datos!K17+Datos!AE17)),IF(D_I="SI",Datos!K17,Datos!K17+Datos!AE17)," - ")</f>
        <v>278</v>
      </c>
      <c r="G17" s="1034" t="str">
        <f>IF(Datos!E17&lt;&gt;"",Datos!E17,Datos!D17)</f>
        <v>37</v>
      </c>
      <c r="H17" s="227">
        <f>IF(ISNUMBER(IF(D_I="SI",Datos!L17,Datos!L17+Datos!AF17)),IF(D_I="SI",Datos!L17,Datos!L17+Datos!AF17)," - ")</f>
        <v>491</v>
      </c>
      <c r="I17" s="1044" t="str">
        <f>IF(ISNUMBER(Datos!AS17/Datos!BM17),Datos!AS17/Datos!BM17," - ")</f>
        <v xml:space="preserve"> - </v>
      </c>
      <c r="J17" s="1045" t="str">
        <f>IF(ISNUMBER((Datos!BY17+Datos!BZ17)/Datos!CN17),(Datos!BY17+Datos!BZ17)/Datos!CN17," - ")</f>
        <v xml:space="preserve"> - </v>
      </c>
      <c r="K17" s="230">
        <f t="shared" si="3"/>
        <v>6.7391304347826086E-2</v>
      </c>
      <c r="L17" s="1025">
        <f>IF(ISNUMBER(NºAsuntos!I17/NºAsuntos!G17),(NºAsuntos!I17/NºAsuntos!G17)*11," - ")</f>
        <v>19.428057553956833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8171</v>
      </c>
      <c r="D18" s="1049">
        <f>SUBTOTAL(9,D15:D17)</f>
        <v>8159</v>
      </c>
      <c r="E18" s="1050">
        <f>SUBTOTAL(9,E15:E17)</f>
        <v>3770</v>
      </c>
      <c r="F18" s="1050">
        <f>SUBTOTAL(9,F15:F17)</f>
        <v>4397</v>
      </c>
      <c r="G18" s="1052" t="str">
        <f ca="1">INDIRECT(CONCATENATE("G",ROW()-1))</f>
        <v>37</v>
      </c>
      <c r="H18" s="1053">
        <f ca="1">SUMIF(G$14:G17,G18,H$14:H17)</f>
        <v>491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8347</v>
      </c>
      <c r="D19" s="1071">
        <f>SUBTOTAL(9,D9:D18)</f>
        <v>8335</v>
      </c>
      <c r="E19" s="1072">
        <f>SUBTOTAL(9,E9:E18)</f>
        <v>3823</v>
      </c>
      <c r="F19" s="1072">
        <f>SUBTOTAL(9,F9:F18)</f>
        <v>4451</v>
      </c>
      <c r="G19" s="1073"/>
      <c r="H19" s="1074">
        <f ca="1">SUMIF(B9:B18,"TOTAL",H9:H18)</f>
        <v>491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dkBom5pEr2If+mZPWnt8SuEzE6zuKo0xCEYbKos82R8msoTKq6ouYNE5u8mRkhO+7k2CUfDXO+YkRenOIIvS5Q==" saltValue="TBd8Zw+3M2ahD68ICnHs5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rij4O3w60koxPErlKwDOUSzUrDVCPN3yKRJH2ev1fCpWMc40WdJp7uYAyn+U1hQM6gmKNce3J6Qx66XHj4MVQ==" saltValue="D1WQ9t4zo5tnaMOexLQn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9890</v>
      </c>
      <c r="J9" s="181">
        <v>2969</v>
      </c>
      <c r="K9" s="181">
        <v>5243</v>
      </c>
      <c r="L9" s="181">
        <v>7652</v>
      </c>
      <c r="M9" s="181">
        <v>1097</v>
      </c>
      <c r="N9" s="181">
        <v>2644</v>
      </c>
      <c r="O9" s="181">
        <v>2260</v>
      </c>
      <c r="P9" s="181">
        <v>1999</v>
      </c>
      <c r="Q9" s="181">
        <v>1308</v>
      </c>
      <c r="R9" s="181">
        <v>16394</v>
      </c>
      <c r="S9" s="181">
        <v>8738</v>
      </c>
      <c r="T9" s="181">
        <v>3564</v>
      </c>
      <c r="U9" s="181">
        <v>3570</v>
      </c>
      <c r="V9" s="181">
        <v>8732</v>
      </c>
      <c r="W9" s="181">
        <v>906</v>
      </c>
      <c r="X9" s="188">
        <v>1587</v>
      </c>
      <c r="Y9" s="191">
        <v>87</v>
      </c>
      <c r="Z9" s="181">
        <v>112</v>
      </c>
      <c r="AA9" s="181">
        <v>96</v>
      </c>
      <c r="AB9" s="181">
        <v>107</v>
      </c>
      <c r="AC9" s="181">
        <v>0</v>
      </c>
      <c r="AD9" s="181">
        <v>0</v>
      </c>
      <c r="AE9" s="181">
        <v>0</v>
      </c>
      <c r="AF9" s="188">
        <v>0</v>
      </c>
      <c r="AG9" s="191">
        <v>133</v>
      </c>
      <c r="AH9" s="181">
        <v>180</v>
      </c>
      <c r="AI9" s="181">
        <v>177</v>
      </c>
      <c r="AJ9" s="192">
        <v>136</v>
      </c>
      <c r="AK9" s="180">
        <v>0</v>
      </c>
      <c r="AL9" s="181">
        <v>0</v>
      </c>
      <c r="AM9" s="181">
        <v>0</v>
      </c>
      <c r="AN9" s="188">
        <v>0</v>
      </c>
      <c r="AO9" s="258">
        <v>8</v>
      </c>
      <c r="AP9" s="154">
        <v>8</v>
      </c>
      <c r="AQ9" s="154">
        <v>8</v>
      </c>
      <c r="AR9" s="193">
        <v>8</v>
      </c>
      <c r="AS9" s="338" t="s">
        <v>791</v>
      </c>
      <c r="AT9" s="195"/>
      <c r="AU9" s="194"/>
      <c r="AV9" s="195"/>
      <c r="AW9" s="194"/>
      <c r="AX9" s="195"/>
      <c r="AY9" s="123">
        <f>IF(ISNUMBER(IF(J_V="SI",S9,S9+AG9)),IF(J_V="SI",S9,S9+AG9)," - ")</f>
        <v>8871</v>
      </c>
      <c r="AZ9" s="123">
        <f>IF(ISNUMBER(IF(J_V="SI",T9,T9+AH9)),IF(J_V="SI",T9,T9+AH9)," - ")</f>
        <v>3744</v>
      </c>
      <c r="BA9" s="124">
        <f>IF(ISNUMBER(IF(J_V="SI",U9,U9+AI9)),IF(J_V="SI",U9,U9+AI9)," - ")</f>
        <v>3747</v>
      </c>
      <c r="BB9" s="124">
        <f>IF(ISNUMBER(IF(J_V="SI",V9,V9+AJ9)),IF(J_V="SI",V9,V9+AJ9)," - ")</f>
        <v>8868</v>
      </c>
      <c r="BC9" s="125">
        <f>IF(ISNUMBER(X9),X9," - ")</f>
        <v>1587</v>
      </c>
      <c r="BD9" s="126">
        <f>IF(ISNUMBER(BA9/AZ9),BA9/AZ9," - ")</f>
        <v>1.0008012820512822</v>
      </c>
      <c r="BE9" s="127">
        <f>IF(ISNUMBER(BB9/BA9),BB9/BA9, " - ")</f>
        <v>2.366693354683747</v>
      </c>
      <c r="BF9" s="127">
        <f>IF(ISNUMBER(BC9/BA9),BC9/BA9, " - ")</f>
        <v>0.42353883106485191</v>
      </c>
      <c r="BG9" s="196">
        <f>IF(ISNUMBER((AY9+AZ9)/BA9),(AY9+AZ9)/BA9," - ")</f>
        <v>3.366693354683747</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176</v>
      </c>
      <c r="J10" s="181">
        <v>53</v>
      </c>
      <c r="K10" s="181">
        <v>54</v>
      </c>
      <c r="L10" s="181">
        <v>175</v>
      </c>
      <c r="M10" s="181">
        <v>21</v>
      </c>
      <c r="N10" s="181">
        <v>33</v>
      </c>
      <c r="O10" s="181">
        <v>14</v>
      </c>
      <c r="P10" s="181">
        <v>9</v>
      </c>
      <c r="Q10" s="181">
        <v>21</v>
      </c>
      <c r="R10" s="181">
        <v>111</v>
      </c>
      <c r="S10" s="181">
        <v>128</v>
      </c>
      <c r="T10" s="181">
        <v>74</v>
      </c>
      <c r="U10" s="181">
        <v>50</v>
      </c>
      <c r="V10" s="181">
        <v>152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128</v>
      </c>
      <c r="AZ10" s="129">
        <f t="shared" si="0"/>
        <v>74</v>
      </c>
      <c r="BA10" s="129">
        <f t="shared" si="0"/>
        <v>50</v>
      </c>
      <c r="BB10" s="129">
        <f t="shared" si="0"/>
        <v>152</v>
      </c>
      <c r="BC10" s="125">
        <f t="shared" si="0"/>
        <v>0</v>
      </c>
      <c r="BD10" s="126">
        <f>IF(ISNUMBER(BA10/AZ10),BA10/AZ10," - ")</f>
        <v>0.67567567567567566</v>
      </c>
      <c r="BE10" s="127">
        <f>IF(ISNUMBER(BB10/BA10),BB10/BA10, " - ")</f>
        <v>3.04</v>
      </c>
      <c r="BF10" s="127">
        <f>IF(ISNUMBER(BC10/BA10),BC10/BA10, " - ")</f>
        <v>0</v>
      </c>
      <c r="BG10" s="196">
        <f>IF(ISNUMBER((AY10+AZ10)/BA10),(AY10+AZ10)/BA10," - ")</f>
        <v>4.04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653</v>
      </c>
      <c r="J11" s="183">
        <v>457</v>
      </c>
      <c r="K11" s="183">
        <v>542</v>
      </c>
      <c r="L11" s="183">
        <v>568</v>
      </c>
      <c r="M11" s="183">
        <v>155</v>
      </c>
      <c r="N11" s="183">
        <v>312</v>
      </c>
      <c r="O11" s="181">
        <v>165</v>
      </c>
      <c r="P11" s="183">
        <v>121</v>
      </c>
      <c r="Q11" s="183">
        <v>86</v>
      </c>
      <c r="R11" s="183">
        <v>826</v>
      </c>
      <c r="S11" s="183">
        <v>968</v>
      </c>
      <c r="T11" s="183">
        <v>457</v>
      </c>
      <c r="U11" s="183">
        <v>568</v>
      </c>
      <c r="V11" s="183">
        <v>864</v>
      </c>
      <c r="W11" s="183">
        <v>180</v>
      </c>
      <c r="X11" s="189">
        <v>356</v>
      </c>
      <c r="Y11" s="191">
        <v>121</v>
      </c>
      <c r="Z11" s="181">
        <v>146</v>
      </c>
      <c r="AA11" s="181">
        <v>181</v>
      </c>
      <c r="AB11" s="181">
        <v>86</v>
      </c>
      <c r="AC11" s="183">
        <v>0</v>
      </c>
      <c r="AD11" s="183">
        <v>0</v>
      </c>
      <c r="AE11" s="183">
        <v>0</v>
      </c>
      <c r="AF11" s="189">
        <v>0</v>
      </c>
      <c r="AG11" s="202">
        <v>72</v>
      </c>
      <c r="AH11" s="183">
        <v>217</v>
      </c>
      <c r="AI11" s="183">
        <v>182</v>
      </c>
      <c r="AJ11" s="203">
        <v>107</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1040</v>
      </c>
      <c r="AZ11" s="127">
        <f t="shared" si="1"/>
        <v>674</v>
      </c>
      <c r="BA11" s="127">
        <f t="shared" si="1"/>
        <v>750</v>
      </c>
      <c r="BB11" s="127">
        <f t="shared" si="1"/>
        <v>971</v>
      </c>
      <c r="BC11" s="125">
        <f>IF(ISNUMBER(X11),X11," - ")</f>
        <v>356</v>
      </c>
      <c r="BD11" s="126">
        <f t="shared" ref="BD11:BD12" si="2">IF(ISNUMBER(BA11/AZ11),BA11/AZ11," - ")</f>
        <v>1.1127596439169138</v>
      </c>
      <c r="BE11" s="127">
        <f t="shared" ref="BE11:BE12" si="3">IF(ISNUMBER(BB11/BA11),BB11/BA11, " - ")</f>
        <v>1.2946666666666666</v>
      </c>
      <c r="BF11" s="127">
        <f t="shared" ref="BF11:BF12" si="4">IF(ISNUMBER(BC11/BA11),BC11/BA11, " - ")</f>
        <v>0.47466666666666668</v>
      </c>
      <c r="BG11" s="196">
        <f t="shared" ref="BG11:BG12" si="5">IF(ISNUMBER((AY11+AZ11)/BA11),(AY11+AZ11)/BA11," - ")</f>
        <v>2.2853333333333334</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10719</v>
      </c>
      <c r="J13" s="184">
        <f t="shared" si="6"/>
        <v>3479</v>
      </c>
      <c r="K13" s="184">
        <f t="shared" si="6"/>
        <v>5839</v>
      </c>
      <c r="L13" s="184">
        <f t="shared" si="6"/>
        <v>8395</v>
      </c>
      <c r="M13" s="184">
        <f t="shared" si="6"/>
        <v>1273</v>
      </c>
      <c r="N13" s="184">
        <f t="shared" si="6"/>
        <v>2989</v>
      </c>
      <c r="O13" s="184">
        <f t="shared" si="6"/>
        <v>2439</v>
      </c>
      <c r="P13" s="184">
        <f t="shared" si="6"/>
        <v>2129</v>
      </c>
      <c r="Q13" s="184">
        <f t="shared" si="6"/>
        <v>1415</v>
      </c>
      <c r="R13" s="184">
        <f t="shared" si="6"/>
        <v>17331</v>
      </c>
      <c r="S13" s="184">
        <f t="shared" si="6"/>
        <v>9834</v>
      </c>
      <c r="T13" s="184">
        <f t="shared" si="6"/>
        <v>4095</v>
      </c>
      <c r="U13" s="184">
        <f t="shared" si="6"/>
        <v>4188</v>
      </c>
      <c r="V13" s="184">
        <f t="shared" si="6"/>
        <v>9748</v>
      </c>
      <c r="W13" s="184">
        <f t="shared" si="6"/>
        <v>1086</v>
      </c>
      <c r="X13" s="184">
        <f t="shared" si="6"/>
        <v>1943</v>
      </c>
      <c r="Y13" s="184">
        <f t="shared" si="6"/>
        <v>208</v>
      </c>
      <c r="Z13" s="184">
        <f t="shared" si="6"/>
        <v>258</v>
      </c>
      <c r="AA13" s="184">
        <f t="shared" si="6"/>
        <v>277</v>
      </c>
      <c r="AB13" s="184">
        <f t="shared" si="6"/>
        <v>193</v>
      </c>
      <c r="AC13" s="184">
        <f t="shared" si="6"/>
        <v>0</v>
      </c>
      <c r="AD13" s="184">
        <f t="shared" si="6"/>
        <v>0</v>
      </c>
      <c r="AE13" s="184">
        <f t="shared" si="6"/>
        <v>0</v>
      </c>
      <c r="AF13" s="184">
        <f>SUBTOTAL(9,AF9:AF12)</f>
        <v>0</v>
      </c>
      <c r="AG13" s="184">
        <f t="shared" ref="AG13:AT13" si="7">SUBTOTAL(9,AG8:AG12)</f>
        <v>205</v>
      </c>
      <c r="AH13" s="184">
        <f t="shared" si="7"/>
        <v>397</v>
      </c>
      <c r="AI13" s="184">
        <f t="shared" si="7"/>
        <v>359</v>
      </c>
      <c r="AJ13" s="184">
        <f t="shared" si="7"/>
        <v>243</v>
      </c>
      <c r="AK13" s="184">
        <f t="shared" si="7"/>
        <v>0</v>
      </c>
      <c r="AL13" s="184">
        <f t="shared" si="7"/>
        <v>0</v>
      </c>
      <c r="AM13" s="184">
        <f t="shared" si="7"/>
        <v>0</v>
      </c>
      <c r="AN13" s="184">
        <f t="shared" si="7"/>
        <v>0</v>
      </c>
      <c r="AO13" s="184">
        <f t="shared" si="7"/>
        <v>11</v>
      </c>
      <c r="AP13" s="184">
        <f t="shared" si="7"/>
        <v>11</v>
      </c>
      <c r="AQ13" s="184">
        <f t="shared" si="7"/>
        <v>11</v>
      </c>
      <c r="AR13" s="184">
        <f t="shared" si="7"/>
        <v>11</v>
      </c>
      <c r="AS13" s="184">
        <f t="shared" si="7"/>
        <v>0</v>
      </c>
      <c r="AT13" s="184">
        <f t="shared" si="7"/>
        <v>0</v>
      </c>
      <c r="AU13" s="204"/>
      <c r="AV13" s="132"/>
      <c r="AW13" s="204"/>
      <c r="AX13" s="132"/>
      <c r="AY13" s="184">
        <f>SUBTOTAL(9,AY8:AY12)</f>
        <v>10039</v>
      </c>
      <c r="AZ13" s="184">
        <f>SUBTOTAL(9,AZ8:AZ12)</f>
        <v>4492</v>
      </c>
      <c r="BA13" s="184">
        <f>SUBTOTAL(9,BA8:BA12)</f>
        <v>4547</v>
      </c>
      <c r="BB13" s="184">
        <f>SUBTOTAL(9,BB8:BB12)</f>
        <v>9991</v>
      </c>
      <c r="BC13" s="184">
        <f>SUBTOTAL(9,BC8:BC12)</f>
        <v>1943</v>
      </c>
      <c r="BD13" s="205">
        <f>IF(ISNUMBER(BA13/AZ13),BA13/AZ13," - ")</f>
        <v>1.0122439893143367</v>
      </c>
      <c r="BE13" s="206">
        <f>IF(ISNUMBER(BB13/BA13),BB13/BA13, " - ")</f>
        <v>2.1972729272047502</v>
      </c>
      <c r="BF13" s="206">
        <f>IF(ISNUMBER(BC13/BA13),BC13/BA13, " - ")</f>
        <v>0.42731471299758084</v>
      </c>
      <c r="BG13" s="207">
        <f>IF(ISNUMBER((AY13+AZ13)/BA13),(AY13+AZ13)/BA13," - ")</f>
        <v>3.1957334506267867</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7699</v>
      </c>
      <c r="J15" s="183">
        <v>3461</v>
      </c>
      <c r="K15" s="183">
        <v>4119</v>
      </c>
      <c r="L15" s="183">
        <v>7053</v>
      </c>
      <c r="M15" s="183">
        <v>459</v>
      </c>
      <c r="N15" s="183">
        <v>2761</v>
      </c>
      <c r="O15" s="181">
        <v>71</v>
      </c>
      <c r="P15" s="183">
        <v>216</v>
      </c>
      <c r="Q15" s="183">
        <v>205</v>
      </c>
      <c r="R15" s="183">
        <v>489</v>
      </c>
      <c r="S15" s="183">
        <v>6743</v>
      </c>
      <c r="T15" s="183">
        <v>3984</v>
      </c>
      <c r="U15" s="183">
        <v>3834</v>
      </c>
      <c r="V15" s="183">
        <v>6916</v>
      </c>
      <c r="W15" s="183">
        <v>552</v>
      </c>
      <c r="X15" s="189">
        <v>2444</v>
      </c>
      <c r="Y15" s="202">
        <v>0</v>
      </c>
      <c r="Z15" s="183">
        <v>0</v>
      </c>
      <c r="AA15" s="183">
        <v>0</v>
      </c>
      <c r="AB15" s="183">
        <v>0</v>
      </c>
      <c r="AC15" s="183">
        <v>0</v>
      </c>
      <c r="AD15" s="183">
        <v>122</v>
      </c>
      <c r="AE15" s="183">
        <v>122</v>
      </c>
      <c r="AF15" s="189">
        <v>0</v>
      </c>
      <c r="AG15" s="202">
        <v>0</v>
      </c>
      <c r="AH15" s="183">
        <v>0</v>
      </c>
      <c r="AI15" s="183">
        <v>0</v>
      </c>
      <c r="AJ15" s="203">
        <v>0</v>
      </c>
      <c r="AK15" s="182">
        <v>1</v>
      </c>
      <c r="AL15" s="183">
        <v>178</v>
      </c>
      <c r="AM15" s="183">
        <v>173</v>
      </c>
      <c r="AN15" s="189">
        <v>6</v>
      </c>
      <c r="AO15" s="259">
        <v>4</v>
      </c>
      <c r="AP15" s="155">
        <v>4</v>
      </c>
      <c r="AQ15" s="155">
        <v>4</v>
      </c>
      <c r="AR15" s="155">
        <v>4</v>
      </c>
      <c r="AS15" s="340" t="s">
        <v>522</v>
      </c>
      <c r="AT15" s="203" t="s">
        <v>326</v>
      </c>
      <c r="AU15" s="202"/>
      <c r="AV15" s="203"/>
      <c r="AW15" s="202"/>
      <c r="AX15" s="203"/>
      <c r="AY15" s="128">
        <f t="shared" ref="AY15:BB16" si="9">IF(ISNUMBER(IF(D_I="SI",S15,S15+AK15)),IF(D_I="SI",S15,S15+AK15)," - ")</f>
        <v>6743</v>
      </c>
      <c r="AZ15" s="129">
        <f t="shared" si="9"/>
        <v>3984</v>
      </c>
      <c r="BA15" s="129">
        <f t="shared" si="9"/>
        <v>3834</v>
      </c>
      <c r="BB15" s="129">
        <f t="shared" si="9"/>
        <v>6916</v>
      </c>
      <c r="BC15" s="125">
        <f>IF(ISNUMBER(W15),W15," - ")</f>
        <v>552</v>
      </c>
      <c r="BD15" s="126">
        <f>IF(ISNUMBER(BA15/AZ15),BA15/AZ15," - ")</f>
        <v>0.96234939759036142</v>
      </c>
      <c r="BE15" s="127">
        <f>IF(ISNUMBER(BB15/BA15),BB15/BA15, " - ")</f>
        <v>1.8038601982263953</v>
      </c>
      <c r="BF15" s="127">
        <f>IF(ISNUMBER(BC15/BA15),BC15/BA15, " - ")</f>
        <v>0.14397496087636932</v>
      </c>
      <c r="BG15" s="196">
        <f t="shared" ref="BG15:BG16" si="10">IF(ISNUMBER((AY15+AZ15)/BA15),(AY15+AZ15)/BA15," - ")</f>
        <v>2.7978612415232131</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460</v>
      </c>
      <c r="J17" s="183">
        <v>309</v>
      </c>
      <c r="K17" s="183">
        <v>278</v>
      </c>
      <c r="L17" s="183">
        <v>491</v>
      </c>
      <c r="M17" s="183">
        <v>13</v>
      </c>
      <c r="N17" s="183">
        <v>104</v>
      </c>
      <c r="O17" s="183">
        <v>0</v>
      </c>
      <c r="P17" s="183">
        <v>2</v>
      </c>
      <c r="Q17" s="183">
        <v>1</v>
      </c>
      <c r="R17" s="183">
        <v>8</v>
      </c>
      <c r="S17" s="183">
        <v>207</v>
      </c>
      <c r="T17" s="183">
        <v>308</v>
      </c>
      <c r="U17" s="183">
        <v>240</v>
      </c>
      <c r="V17" s="183">
        <v>275</v>
      </c>
      <c r="W17" s="183">
        <v>33</v>
      </c>
      <c r="X17" s="189">
        <v>193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207</v>
      </c>
      <c r="AZ17" s="129">
        <f t="shared" si="14"/>
        <v>308</v>
      </c>
      <c r="BA17" s="129">
        <f t="shared" si="14"/>
        <v>240</v>
      </c>
      <c r="BB17" s="129">
        <f t="shared" si="14"/>
        <v>275</v>
      </c>
      <c r="BC17" s="125">
        <f>IF(ISNUMBER(W17),W17," - ")</f>
        <v>33</v>
      </c>
      <c r="BD17" s="126">
        <f>IF(ISNUMBER(BA17/AZ17),BA17/AZ17," - ")</f>
        <v>0.77922077922077926</v>
      </c>
      <c r="BE17" s="127">
        <f>IF(ISNUMBER(BB17/BA17),BB17/BA17, " - ")</f>
        <v>1.1458333333333333</v>
      </c>
      <c r="BF17" s="127">
        <f>IF(ISNUMBER(BC17/BA17),BC17/BA17, " - ")</f>
        <v>0.13750000000000001</v>
      </c>
      <c r="BG17" s="196">
        <f>IF(ISNUMBER((AY17+AZ17)/BA17),(AY17+AZ17)/BA17," - ")</f>
        <v>2.1458333333333335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8159</v>
      </c>
      <c r="J18" s="184">
        <f t="shared" si="15"/>
        <v>3770</v>
      </c>
      <c r="K18" s="184">
        <f t="shared" si="15"/>
        <v>4397</v>
      </c>
      <c r="L18" s="184">
        <f t="shared" si="15"/>
        <v>7544</v>
      </c>
      <c r="M18" s="184">
        <f t="shared" si="15"/>
        <v>472</v>
      </c>
      <c r="N18" s="184">
        <f t="shared" si="15"/>
        <v>2865</v>
      </c>
      <c r="O18" s="184">
        <f t="shared" si="15"/>
        <v>71</v>
      </c>
      <c r="P18" s="184">
        <f t="shared" si="15"/>
        <v>218</v>
      </c>
      <c r="Q18" s="184">
        <f t="shared" si="15"/>
        <v>206</v>
      </c>
      <c r="R18" s="184">
        <f t="shared" si="15"/>
        <v>497</v>
      </c>
      <c r="S18" s="184">
        <f t="shared" si="15"/>
        <v>6950</v>
      </c>
      <c r="T18" s="184">
        <f t="shared" si="15"/>
        <v>4292</v>
      </c>
      <c r="U18" s="184">
        <f t="shared" si="15"/>
        <v>4074</v>
      </c>
      <c r="V18" s="184">
        <f t="shared" si="15"/>
        <v>7191</v>
      </c>
      <c r="W18" s="184">
        <f t="shared" si="15"/>
        <v>585</v>
      </c>
      <c r="X18" s="184">
        <f t="shared" si="15"/>
        <v>2637</v>
      </c>
      <c r="Y18" s="184">
        <f t="shared" si="15"/>
        <v>0</v>
      </c>
      <c r="Z18" s="184">
        <f t="shared" si="15"/>
        <v>0</v>
      </c>
      <c r="AA18" s="184">
        <f t="shared" si="15"/>
        <v>0</v>
      </c>
      <c r="AB18" s="184">
        <f t="shared" si="15"/>
        <v>0</v>
      </c>
      <c r="AC18" s="184">
        <f t="shared" si="15"/>
        <v>0</v>
      </c>
      <c r="AD18" s="184">
        <f t="shared" si="15"/>
        <v>122</v>
      </c>
      <c r="AE18" s="184">
        <f t="shared" si="15"/>
        <v>122</v>
      </c>
      <c r="AF18" s="184">
        <f t="shared" si="15"/>
        <v>0</v>
      </c>
      <c r="AG18" s="184">
        <f t="shared" si="15"/>
        <v>0</v>
      </c>
      <c r="AH18" s="184">
        <f t="shared" si="15"/>
        <v>0</v>
      </c>
      <c r="AI18" s="184">
        <f t="shared" si="15"/>
        <v>0</v>
      </c>
      <c r="AJ18" s="184">
        <f t="shared" si="15"/>
        <v>0</v>
      </c>
      <c r="AK18" s="184">
        <f t="shared" si="15"/>
        <v>1</v>
      </c>
      <c r="AL18" s="184">
        <f t="shared" si="15"/>
        <v>178</v>
      </c>
      <c r="AM18" s="184">
        <f t="shared" si="15"/>
        <v>173</v>
      </c>
      <c r="AN18" s="184">
        <f t="shared" si="15"/>
        <v>6</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6950</v>
      </c>
      <c r="AZ18" s="184">
        <f>SUBTOTAL(9,AZ14:AZ17)</f>
        <v>4292</v>
      </c>
      <c r="BA18" s="184">
        <f>SUBTOTAL(9,BA14:BA17)</f>
        <v>4074</v>
      </c>
      <c r="BB18" s="184">
        <f>SUBTOTAL(9,BB14:BB17)</f>
        <v>7191</v>
      </c>
      <c r="BC18" s="184">
        <f>SUBTOTAL(9,BC14:BC17)</f>
        <v>585</v>
      </c>
      <c r="BD18" s="205">
        <f>IF(ISNUMBER(BA18/AZ18),BA18/AZ18," - ")</f>
        <v>0.94920782851817331</v>
      </c>
      <c r="BE18" s="206">
        <f>IF(ISNUMBER(BB18/BA18),BB18/BA18, " - ")</f>
        <v>1.7650957290132547</v>
      </c>
      <c r="BF18" s="206">
        <f>IF(ISNUMBER(BC18/BA18),BC18/BA18, " - ")</f>
        <v>0.14359351988217967</v>
      </c>
      <c r="BG18" s="207">
        <f>IF(ISNUMBER((AY18+AZ18)/BA18),(AY18+AZ18)/BA18," - ")</f>
        <v>2.7594501718213058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18878</v>
      </c>
      <c r="J19" s="134">
        <f t="shared" si="18"/>
        <v>7249</v>
      </c>
      <c r="K19" s="134">
        <f t="shared" si="18"/>
        <v>10236</v>
      </c>
      <c r="L19" s="134">
        <f t="shared" si="18"/>
        <v>15939</v>
      </c>
      <c r="M19" s="134">
        <f t="shared" si="18"/>
        <v>1745</v>
      </c>
      <c r="N19" s="134">
        <f t="shared" si="18"/>
        <v>5854</v>
      </c>
      <c r="O19" s="134">
        <f t="shared" si="18"/>
        <v>2510</v>
      </c>
      <c r="P19" s="134">
        <f t="shared" si="18"/>
        <v>2347</v>
      </c>
      <c r="Q19" s="134">
        <f t="shared" si="18"/>
        <v>1621</v>
      </c>
      <c r="R19" s="134">
        <f t="shared" si="18"/>
        <v>17828</v>
      </c>
      <c r="S19" s="134">
        <f t="shared" si="18"/>
        <v>16784</v>
      </c>
      <c r="T19" s="134">
        <f t="shared" si="18"/>
        <v>8387</v>
      </c>
      <c r="U19" s="134">
        <f t="shared" si="18"/>
        <v>8262</v>
      </c>
      <c r="V19" s="134">
        <f t="shared" si="18"/>
        <v>16939</v>
      </c>
      <c r="W19" s="134">
        <f t="shared" si="18"/>
        <v>1671</v>
      </c>
      <c r="X19" s="134">
        <f t="shared" si="18"/>
        <v>4580</v>
      </c>
      <c r="Y19" s="134">
        <f t="shared" si="18"/>
        <v>208</v>
      </c>
      <c r="Z19" s="134">
        <f t="shared" si="18"/>
        <v>258</v>
      </c>
      <c r="AA19" s="134">
        <f t="shared" si="18"/>
        <v>277</v>
      </c>
      <c r="AB19" s="134">
        <f t="shared" si="18"/>
        <v>193</v>
      </c>
      <c r="AC19" s="134">
        <f t="shared" si="18"/>
        <v>0</v>
      </c>
      <c r="AD19" s="134">
        <f t="shared" si="18"/>
        <v>122</v>
      </c>
      <c r="AE19" s="134">
        <f t="shared" si="18"/>
        <v>122</v>
      </c>
      <c r="AF19" s="134">
        <f t="shared" si="18"/>
        <v>0</v>
      </c>
      <c r="AG19" s="134">
        <f t="shared" si="18"/>
        <v>205</v>
      </c>
      <c r="AH19" s="134">
        <f t="shared" si="18"/>
        <v>397</v>
      </c>
      <c r="AI19" s="134">
        <f t="shared" si="18"/>
        <v>359</v>
      </c>
      <c r="AJ19" s="134">
        <f t="shared" si="18"/>
        <v>243</v>
      </c>
      <c r="AK19" s="134">
        <f t="shared" si="18"/>
        <v>1</v>
      </c>
      <c r="AL19" s="134">
        <f t="shared" si="18"/>
        <v>178</v>
      </c>
      <c r="AM19" s="134">
        <f t="shared" si="18"/>
        <v>173</v>
      </c>
      <c r="AN19" s="210">
        <f t="shared" si="18"/>
        <v>6</v>
      </c>
      <c r="AO19" s="211">
        <v>15</v>
      </c>
      <c r="AP19" s="211">
        <v>15</v>
      </c>
      <c r="AQ19" s="211">
        <v>15</v>
      </c>
      <c r="AR19" s="211">
        <v>15</v>
      </c>
      <c r="AS19" s="153">
        <f t="shared" si="18"/>
        <v>0</v>
      </c>
      <c r="AT19" s="153">
        <f t="shared" si="18"/>
        <v>0</v>
      </c>
      <c r="AU19" s="211"/>
      <c r="AV19" s="212"/>
      <c r="AW19" s="211"/>
      <c r="AX19" s="212"/>
      <c r="AY19" s="133">
        <f>SUBTOTAL(9,AY9:AY18)</f>
        <v>16989</v>
      </c>
      <c r="AZ19" s="134">
        <f>SUBTOTAL(9,AZ9:AZ18)</f>
        <v>8784</v>
      </c>
      <c r="BA19" s="134">
        <f>SUBTOTAL(9,BA9:BA18)</f>
        <v>8621</v>
      </c>
      <c r="BB19" s="134">
        <f>SUBTOTAL(9,BB9:BB18)</f>
        <v>17182</v>
      </c>
      <c r="BC19" s="135">
        <f>SUBTOTAL(9,BC9:BC18)</f>
        <v>2528</v>
      </c>
      <c r="BD19" s="213">
        <f>IF(ISNUMBER(BA19/AZ19),BA19/AZ19," - ")</f>
        <v>0.98144353369763204</v>
      </c>
      <c r="BE19" s="210">
        <f>IF(ISNUMBER(BB19/BA19),BB19/BA19, " - ")</f>
        <v>1.9930402505509801</v>
      </c>
      <c r="BF19" s="210">
        <f>IF(ISNUMBER(BC19/BA19),BC19/BA19, " - ")</f>
        <v>0.29323744345203573</v>
      </c>
      <c r="BG19" s="135">
        <f>IF(ISNUMBER((AY19+AZ19)/BA19),(AY19+AZ19)/BA19," - ")</f>
        <v>2.9895603758264704</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Ce7fK8psvedawV+lvbkTIDAGry9+8Zc3E57/wrpj4s9f+GUbHYL7dtsGMCKmsXNNvoi0YQCutXz/28Or3zedg==" saltValue="+qkzfWyjIpc1RXOisBZn8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ZG/EE5CriM6rDi8KOF6umF7PvrQ5bvS9RLMcXqUfTIIrOjMhx0LKsKn4q948DbYXsX3wFS5WHS8F1o8v8kLQ==" saltValue="hE24vbv3+OPUJeSAM0ini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GRANOLLERS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112</v>
      </c>
      <c r="O9" s="334"/>
      <c r="P9" s="334"/>
      <c r="Q9" s="226">
        <f>IF(ISNUMBER(Datos!P9),Datos!P9,0)</f>
        <v>1999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1308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107</v>
      </c>
      <c r="AI9" s="334" t="str">
        <f>IF(ISNUMBER(Datos!CD9),Datos!CD9,"-")</f>
        <v>-</v>
      </c>
      <c r="AJ9" s="334" t="str">
        <f>IF(ISNUMBER(Datos!EN9),Datos!EN9," - ")</f>
        <v xml:space="preserve"> - </v>
      </c>
      <c r="AK9" s="334"/>
      <c r="AL9" s="479"/>
      <c r="AM9" s="335">
        <f>IF(ISNUMBER(Datos!R9),Datos!R9," - ")</f>
        <v>16394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1097</v>
      </c>
      <c r="BD9" s="229">
        <f>IF(ISNUMBER(Datos!N9),Datos!N9," - ")</f>
        <v>2644</v>
      </c>
      <c r="BE9" s="229" t="str">
        <f>IF(ISNUMBER(Datos!BW9),Datos!BW9," - ")</f>
        <v xml:space="preserve"> - </v>
      </c>
      <c r="BF9" s="228" t="str">
        <f>IF(ISNUMBER(Datos!BX9),Datos!BX9," - ")</f>
        <v xml:space="preserve"> - </v>
      </c>
      <c r="BG9" s="243">
        <f>IF(ISNUMBER(IF(J_V="SI",Datos!K9/Datos!J9,(Datos!K9+Datos!AA9)/(Datos!J9+Datos!Z9))),IF(J_V="SI",Datos!K9/Datos!J9,(Datos!K9+Datos!AA9)/(Datos!J9+Datos!Z9))," - ")</f>
        <v>1.7328789354105809</v>
      </c>
      <c r="BH9" s="260">
        <f>IF(ISNUMBER(((IF(J_V="SI",Datos!L9/Datos!K9,(Datos!L9+Datos!AB9)/(Datos!K9+Datos!AA9)))*11)/factor_trimestre),((IF(J_V="SI",Datos!L9/Datos!K9,(Datos!L9+Datos!AB9)/(Datos!K9+Datos!AA9)))*11)/factor_trimestre," - ")</f>
        <v>4.3598052069675974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4.4004330382729412E-2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176</v>
      </c>
      <c r="G10" s="333">
        <f>IF(ISNUMBER(Datos!I10),Datos!I10," - ")</f>
        <v>176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54</v>
      </c>
      <c r="AC10" s="226">
        <f>IF(ISNUMBER(Datos!Q10),Datos!Q10," - ")</f>
        <v>21</v>
      </c>
      <c r="AD10" s="334"/>
      <c r="AE10" s="484"/>
      <c r="AF10" s="332">
        <f>IF(ISNUMBER(Datos!L10),Datos!L10,"-")</f>
        <v>175</v>
      </c>
      <c r="AG10" s="334"/>
      <c r="AH10" s="334"/>
      <c r="AI10" s="334"/>
      <c r="AJ10" s="334"/>
      <c r="AK10" s="334"/>
      <c r="AL10" s="479"/>
      <c r="AM10" s="335">
        <f>IF(ISNUMBER(Datos!R10),Datos!R10," - ")</f>
        <v>111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33</v>
      </c>
      <c r="BE10" s="229" t="str">
        <f>IF(ISNUMBER(Datos!BW10),Datos!BW10," - ")</f>
        <v xml:space="preserve"> - </v>
      </c>
      <c r="BF10" s="228" t="str">
        <f>IF(ISNUMBER(Datos!BX10),Datos!BX10," - ")</f>
        <v xml:space="preserve"> - </v>
      </c>
      <c r="BG10" s="243">
        <f>IF(ISNUMBER(Datos!K10/Datos!J10),Datos!K10/Datos!J10," - ")</f>
        <v>1.0188679245283019</v>
      </c>
      <c r="BH10" s="260">
        <f>IF(ISNUMBER(((Datos!L10/Datos!K10)*11)/factor_trimestre),((Datos!L10/Datos!K10)*11)/factor_trimestre," - ")</f>
        <v>9.7222222222222232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-9.7560975609756101E-2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146</v>
      </c>
      <c r="O11" s="334"/>
      <c r="P11" s="334"/>
      <c r="Q11" s="226">
        <f>IF(ISNUMBER(Datos!P11),Datos!P11,0)</f>
        <v>121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86</v>
      </c>
      <c r="AD11" s="334"/>
      <c r="AE11" s="484"/>
      <c r="AF11" s="332" t="str">
        <f>IF(ISNUMBER(IF(J_V="SI",Datos!L11,Datos!L11+Datos!AB11)-IF(Monitorios="SI",Datos!CD11,0)),
                          IF(J_V="SI",Datos!L11,Datos!L11+Datos!AB11)-IF(Monitorios="SI",Datos!CD11,0),
                          " - ")</f>
        <v xml:space="preserve"> - </v>
      </c>
      <c r="AG11" s="334"/>
      <c r="AH11" s="334">
        <f>IF(ISNUMBER(Datos!AB11),Datos!AB11,"-")</f>
        <v>86</v>
      </c>
      <c r="AI11" s="334"/>
      <c r="AJ11" s="334"/>
      <c r="AK11" s="334"/>
      <c r="AL11" s="479"/>
      <c r="AM11" s="335">
        <f>IF(ISNUMBER(Datos!R11),Datos!R11," - ")</f>
        <v>826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155</v>
      </c>
      <c r="BD11" s="229">
        <f>IF(ISNUMBER(Datos!N11),Datos!N11," - ")</f>
        <v>312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1.1990049751243781</v>
      </c>
      <c r="BH11" s="260">
        <f>IF(ISNUMBER(((IF(J_V="SI",Datos!L11/Datos!K11,(Datos!L11+Datos!AB11)/(Datos!K11+Datos!AA11)))*11)/factor_trimestre),((IF(J_V="SI",Datos!L11/Datos!K11,(Datos!L11+Datos!AB11)/(Datos!K11+Datos!AA11)))*11)/factor_trimestre," - ")</f>
        <v>2.7136929460580914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4.4247787610619468E-2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11</v>
      </c>
      <c r="F13" s="898">
        <f t="shared" si="0"/>
        <v>176</v>
      </c>
      <c r="G13" s="898">
        <f t="shared" si="0"/>
        <v>176</v>
      </c>
      <c r="H13" s="899">
        <f t="shared" si="0"/>
        <v>0</v>
      </c>
      <c r="I13" s="898">
        <f t="shared" si="0"/>
        <v>0</v>
      </c>
      <c r="J13" s="867">
        <f t="shared" si="0"/>
        <v>0</v>
      </c>
      <c r="K13" s="867">
        <f t="shared" si="0"/>
        <v>0</v>
      </c>
      <c r="L13" s="899">
        <f t="shared" si="0"/>
        <v>0</v>
      </c>
      <c r="M13" s="899">
        <f t="shared" si="0"/>
        <v>0</v>
      </c>
      <c r="N13" s="899">
        <f t="shared" si="0"/>
        <v>258</v>
      </c>
      <c r="O13" s="900">
        <f t="shared" si="0"/>
        <v>0</v>
      </c>
      <c r="P13" s="900">
        <f t="shared" si="0"/>
        <v>0</v>
      </c>
      <c r="Q13" s="899">
        <f t="shared" si="0"/>
        <v>2129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54</v>
      </c>
      <c r="AC13" s="899">
        <f t="shared" si="1"/>
        <v>1415</v>
      </c>
      <c r="AD13" s="899">
        <f t="shared" si="1"/>
        <v>0</v>
      </c>
      <c r="AE13" s="899">
        <f t="shared" si="1"/>
        <v>0</v>
      </c>
      <c r="AF13" s="899">
        <f t="shared" si="1"/>
        <v>175</v>
      </c>
      <c r="AG13" s="899">
        <f t="shared" si="1"/>
        <v>0</v>
      </c>
      <c r="AH13" s="899">
        <f t="shared" si="1"/>
        <v>193</v>
      </c>
      <c r="AI13" s="899">
        <f t="shared" si="1"/>
        <v>0</v>
      </c>
      <c r="AJ13" s="899">
        <f t="shared" si="1"/>
        <v>0</v>
      </c>
      <c r="AK13" s="899">
        <f t="shared" si="1"/>
        <v>0</v>
      </c>
      <c r="AL13" s="899">
        <f t="shared" si="1"/>
        <v>0</v>
      </c>
      <c r="AM13" s="899">
        <f t="shared" si="1"/>
        <v>17331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1273</v>
      </c>
      <c r="BD13" s="899">
        <f t="shared" si="1"/>
        <v>2989</v>
      </c>
      <c r="BE13" s="899">
        <f t="shared" si="1"/>
        <v>0</v>
      </c>
      <c r="BF13" s="899">
        <f t="shared" si="1"/>
        <v>0</v>
      </c>
      <c r="BG13" s="899">
        <f>IF(ISNUMBER(Datos!K13/Datos!J13),Datos!K13/Datos!J13," - ")</f>
        <v>1.6783558493820063</v>
      </c>
      <c r="BH13" s="903">
        <f>IF(ISNUMBER(((Datos!L13/Datos!K13)*11)/factor_trimestre),((Datos!L13/Datos!K13)*11)/factor_trimestre," - ")</f>
        <v>4.3132385682479883</v>
      </c>
      <c r="BI13" s="899">
        <f>IF(ISNUMBER('Resol  Asuntos'!D13/NºAsuntos!G13),'Resol  Asuntos'!D13/NºAsuntos!G13," - ")</f>
        <v>0.20814257684761281</v>
      </c>
      <c r="BJ13" s="899" t="str">
        <f>IF(ISNUMBER(Datos!CI13/Datos!CJ13),Datos!CI13/Datos!CJ13," - ")</f>
        <v xml:space="preserve"> - </v>
      </c>
      <c r="BK13" s="899">
        <f>SUBTOTAL(9,BK8:BK12)</f>
        <v>0</v>
      </c>
      <c r="BL13" s="899">
        <f>IF(ISNUMBER((I13-AB13+L13)/(F13)),(I13-AB13+L13)/(F13)," - ")</f>
        <v>-0.30681818181818182</v>
      </c>
      <c r="BM13" s="904">
        <f>SUBTOTAL(9,BM9:BM12)</f>
        <v>-9.3088576164072206E-3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7711</v>
      </c>
      <c r="G15" s="598">
        <f>IF(ISNUMBER(IF(D_I="SI",Datos!I15,Datos!I15+Datos!AC15)),IF(D_I="SI",Datos!I15,Datos!I15+Datos!AC15)," - ")</f>
        <v>7699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216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4119</v>
      </c>
      <c r="AC15" s="226">
        <f>IF(ISNUMBER(Datos!Q15),Datos!Q15," - ")</f>
        <v>205</v>
      </c>
      <c r="AD15" s="334"/>
      <c r="AE15" s="484"/>
      <c r="AF15" s="596">
        <f>IF(ISNUMBER(IF(D_I="SI",Datos!L15,Datos!L15+Datos!AF15)),IF(D_I="SI",Datos!L15,Datos!L15+Datos!AF15)," - ")</f>
        <v>7053</v>
      </c>
      <c r="AG15" s="334"/>
      <c r="AH15" s="334"/>
      <c r="AI15" s="334"/>
      <c r="AJ15" s="334"/>
      <c r="AK15" s="334"/>
      <c r="AL15" s="479"/>
      <c r="AM15" s="335">
        <f>IF(ISNUMBER(Datos!R15),Datos!R15," - ")</f>
        <v>489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459</v>
      </c>
      <c r="BD15" s="229">
        <f>IF(ISNUMBER(Datos!N15),Datos!N15," - ")</f>
        <v>2761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1.1901184628720023</v>
      </c>
      <c r="BH15" s="260">
        <f>IF(ISNUMBER(((IF(D_I="SI",Datos!L15/Datos!K15,(Datos!L15+Datos!AF15)/(Datos!K15+Datos!AE15)))*11)/factor_trimestre),((IF(D_I="SI",Datos!L15/Datos!K15,(Datos!L15+Datos!AF15)/(Datos!K15+Datos!AE15)))*11)/factor_trimestre," - ")</f>
        <v>5.1369264384559354</v>
      </c>
      <c r="BI15" s="243">
        <f>IF(ISNUMBER('Resol  Asuntos'!D15/NºAsuntos!G15),'Resol  Asuntos'!D15/NºAsuntos!G15," - ")</f>
        <v>0.11143481427530955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460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278</v>
      </c>
      <c r="AC17" s="226">
        <f>IF(ISNUMBER(Datos!Q17),Datos!Q17," - ")</f>
        <v>1</v>
      </c>
      <c r="AD17" s="334"/>
      <c r="AE17" s="484"/>
      <c r="AF17" s="332">
        <f>IF(ISNUMBER(Datos!L17),Datos!L17,"-")</f>
        <v>491</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104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0.89967637540453071</v>
      </c>
      <c r="BH17" s="260">
        <f>IF(ISNUMBER(((IF(D_I="SI",Datos!L17/Datos!K17,(Datos!L17+Datos!AF17)/(Datos!K17+Datos!AE17)))*11)/factor_trimestre),((IF(D_I="SI",Datos!L17/Datos!K17,(Datos!L17+Datos!AF17)/(Datos!K17+Datos!AE17)))*11)/factor_trimestre," - ")</f>
        <v>5.2985611510791362</v>
      </c>
      <c r="BI17" s="243">
        <f>IF(ISNUMBER('Resol  Asuntos'!D17/NºAsuntos!G17),'Resol  Asuntos'!D17/NºAsuntos!G17," - ")</f>
        <v>4.6762589928057555E-2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7711</v>
      </c>
      <c r="G18" s="898">
        <f>SUBTOTAL(9,G15:G17)</f>
        <v>8159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4397</v>
      </c>
      <c r="AC18" s="899">
        <f t="shared" si="4"/>
        <v>206</v>
      </c>
      <c r="AD18" s="899">
        <f t="shared" si="4"/>
        <v>0</v>
      </c>
      <c r="AE18" s="899">
        <f t="shared" si="4"/>
        <v>0</v>
      </c>
      <c r="AF18" s="899">
        <f t="shared" si="4"/>
        <v>7544</v>
      </c>
      <c r="AG18" s="899">
        <f t="shared" si="4"/>
        <v>0</v>
      </c>
      <c r="AH18" s="899">
        <f t="shared" si="4"/>
        <v>0</v>
      </c>
      <c r="AI18" s="899">
        <f t="shared" si="4"/>
        <v>0</v>
      </c>
      <c r="AJ18" s="899">
        <f t="shared" si="4"/>
        <v>0</v>
      </c>
      <c r="AK18" s="899">
        <f t="shared" si="4"/>
        <v>0</v>
      </c>
      <c r="AL18" s="899">
        <f t="shared" si="4"/>
        <v>0</v>
      </c>
      <c r="AM18" s="899">
        <f t="shared" si="4"/>
        <v>497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472</v>
      </c>
      <c r="BD18" s="899">
        <f t="shared" si="4"/>
        <v>2865</v>
      </c>
      <c r="BE18" s="899">
        <f t="shared" si="4"/>
        <v>0</v>
      </c>
      <c r="BF18" s="899">
        <f t="shared" si="4"/>
        <v>0</v>
      </c>
      <c r="BG18" s="899">
        <f>IF(ISNUMBER(Datos!K18/Datos!J18),Datos!K18/Datos!J18," - ")</f>
        <v>1.1663129973474802</v>
      </c>
      <c r="BH18" s="903">
        <f>IF(ISNUMBER(((Datos!L18/Datos!K18)*11)/factor_trimestre),((Datos!L18/Datos!K18)*11)/factor_trimestre," - ")</f>
        <v>5.1471457812144639</v>
      </c>
      <c r="BI18" s="899">
        <f>SUBTOTAL(9,BI15:BI17)</f>
        <v>0.15819740420336709</v>
      </c>
      <c r="BJ18" s="899">
        <f>SUBTOTAL(9,BJ15:BJ17)</f>
        <v>0</v>
      </c>
      <c r="BK18" s="899">
        <f>SUBTOTAL(9,BK15:BK17)</f>
        <v>0</v>
      </c>
      <c r="BL18" s="899">
        <f>IF(ISNUMBER((I18-AB18+L18)/(F18)),(I18-AB18+L18)/(F18)," - ")</f>
        <v>-0.57022435481779277</v>
      </c>
      <c r="BM18" s="905">
        <f>IF(ISNUMBER((Datos!P18-Datos!Q18)/(Datos!R18-Datos!P18+Datos!Q18)),(Datos!P18-Datos!Q18)/(Datos!R18-Datos!P18+Datos!Q18)," - ")</f>
        <v>2.4742268041237112E-2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7887</v>
      </c>
      <c r="G19" s="820">
        <f t="shared" si="6"/>
        <v>8335</v>
      </c>
      <c r="H19" s="822">
        <f t="shared" si="6"/>
        <v>0</v>
      </c>
      <c r="I19" s="820">
        <f t="shared" si="6"/>
        <v>0</v>
      </c>
      <c r="J19" s="822">
        <f t="shared" si="6"/>
        <v>0</v>
      </c>
      <c r="K19" s="822">
        <f t="shared" si="6"/>
        <v>0</v>
      </c>
      <c r="L19" s="881">
        <f t="shared" si="6"/>
        <v>0</v>
      </c>
      <c r="M19" s="881">
        <f t="shared" si="6"/>
        <v>0</v>
      </c>
      <c r="N19" s="881">
        <f t="shared" si="6"/>
        <v>258</v>
      </c>
      <c r="O19" s="881">
        <f t="shared" si="6"/>
        <v>0</v>
      </c>
      <c r="P19" s="881">
        <f t="shared" si="6"/>
        <v>0</v>
      </c>
      <c r="Q19" s="822">
        <f t="shared" si="6"/>
        <v>2347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4451</v>
      </c>
      <c r="AC19" s="821">
        <f t="shared" si="7"/>
        <v>1621</v>
      </c>
      <c r="AD19" s="821">
        <f t="shared" si="7"/>
        <v>0</v>
      </c>
      <c r="AE19" s="821">
        <f t="shared" si="7"/>
        <v>0</v>
      </c>
      <c r="AF19" s="828">
        <f t="shared" si="7"/>
        <v>7719</v>
      </c>
      <c r="AG19" s="828">
        <f t="shared" si="7"/>
        <v>0</v>
      </c>
      <c r="AH19" s="828">
        <f t="shared" si="7"/>
        <v>193</v>
      </c>
      <c r="AI19" s="828">
        <f t="shared" si="7"/>
        <v>0</v>
      </c>
      <c r="AJ19" s="821">
        <f t="shared" si="7"/>
        <v>0</v>
      </c>
      <c r="AK19" s="828">
        <f t="shared" si="7"/>
        <v>0</v>
      </c>
      <c r="AL19" s="828">
        <f t="shared" si="7"/>
        <v>0</v>
      </c>
      <c r="AM19" s="828">
        <f t="shared" si="7"/>
        <v>17828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1745</v>
      </c>
      <c r="BD19" s="820">
        <f t="shared" si="7"/>
        <v>5854</v>
      </c>
      <c r="BE19" s="820">
        <f t="shared" si="7"/>
        <v>0</v>
      </c>
      <c r="BF19" s="830">
        <f t="shared" si="7"/>
        <v>0</v>
      </c>
      <c r="BG19" s="915">
        <f>IF(ISNUMBER(Datos!K19/Datos!J19),Datos!K19/Datos!J19," - ")</f>
        <v>1.412056835425576</v>
      </c>
      <c r="BH19" s="915">
        <f>IF(ISNUMBER(((Datos!L19/Datos!K19)*11)/factor_trimestre),((Datos!L19/Datos!K19)*11)/factor_trimestre," - ")</f>
        <v>4.6714536928487691</v>
      </c>
      <c r="BI19" s="813">
        <f>IF(ISNUMBER(Datos!J19/Datos!I19),Datos!J19/Datos!I19," - ")</f>
        <v>0.38399194829960803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-0.5643463927982757</v>
      </c>
      <c r="BM19" s="889">
        <f>IF(ISNUMBER((Datos!P19-Datos!Q19+R19)/(Datos!R19-Datos!P19+Datos!Q19-R19)),(Datos!P19-Datos!Q19+R19)/(Datos!R19-Datos!P19+Datos!Q19-R19)," - ")</f>
        <v>4.2451175301134368E-2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3334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3.844187531556932</v>
      </c>
      <c r="F21" s="551">
        <f>IF(ISNUMBER(STDEV(F8:F18)),STDEV(F8:F18),"-")</f>
        <v>4350.3342783438302</v>
      </c>
      <c r="G21" s="552">
        <f>IF(ISNUMBER(STDEV(G8:G18)),STDEV(G8:G18),"-")</f>
        <v>4199.394420627812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2265.7098887545158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506.95557239362938</v>
      </c>
      <c r="BD21" s="551"/>
      <c r="BE21" s="551">
        <f>IF(ISNUMBER(STDEV(BE8:BE18)),STDEV(BE8:BE18),"-")</f>
        <v>0</v>
      </c>
      <c r="BF21" s="556">
        <f>IF(ISNUMBER(STDEV(BF8:BF18)),STDEV(BF8:BF18),"-")</f>
        <v>0</v>
      </c>
      <c r="BG21" s="775">
        <f>IF(ISNUMBER(STDEV(BG8:BG18)),STDEV(BG8:BG18),"-")</f>
        <v>0.3171191660105474</v>
      </c>
      <c r="BH21" s="776">
        <f>IF(ISNUMBER(STDEV(BH8:BH18)),STDEV(BH8:BH18),"-")</f>
        <v>2.1652108935506473</v>
      </c>
      <c r="BI21" s="249">
        <f>IF(ISNUMBER(STDEV(BI8:BI18)),STDEV(BI8:BI18),"-")</f>
        <v>6.872491423647735E-2</v>
      </c>
      <c r="BJ21" s="230" t="str">
        <f>IF(ISNUMBER(BL21/BM21),BL21/BM21," - ")</f>
        <v xml:space="preserve"> - </v>
      </c>
      <c r="BK21" s="575"/>
      <c r="BL21" s="559">
        <f>IF(ISNUMBER(STDEV(BL8:BL18)),STDEV(BL8:BL18),"-")</f>
        <v>0.18625629113442163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WUuT4a5OrJWmFinmOR4QVkFXUkYfkLPkjU+05z45rUttor2JsQAHrHP7kRFzNEASyEQErNP960pzgdHXfZ2w==" saltValue="Qqwg1PstbRjd08KvbdcF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GRANOLLERS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1999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1308</v>
      </c>
      <c r="AA9" s="332" t="str">
        <f>IF(ISNUMBER(IF(J_V="SI",Datos!L9,Datos!L9+Datos!AB9)-IF(Monitorios="SI",Datos!CD9,0)),
                          IF(J_V="SI",Datos!L9,Datos!L9+Datos!AB9)-IF(Monitorios="SI",Datos!CD9,0),
                          " - ")</f>
        <v xml:space="preserve"> - </v>
      </c>
      <c r="AB9" s="334"/>
      <c r="AC9" s="334"/>
      <c r="AD9" s="484"/>
      <c r="AE9" s="484">
        <f>IF(ISNUMBER(Datos!R9),Datos!R9," - ")</f>
        <v>16394</v>
      </c>
      <c r="AF9" s="229" t="str">
        <f>IF(ISNUMBER(Datos!BV9),Datos!BV9," - ")</f>
        <v xml:space="preserve"> - </v>
      </c>
      <c r="AG9" s="225" t="str">
        <f>IF(ISNUMBER(Datos!DV9),Datos!DV9," - ")</f>
        <v xml:space="preserve"> - </v>
      </c>
      <c r="AH9" s="298"/>
      <c r="AI9" s="227"/>
      <c r="AJ9" s="225">
        <f>IF(ISNUMBER(Datos!M9),Datos!M9," - ")</f>
        <v>1097</v>
      </c>
      <c r="AK9" s="229">
        <f>IF(ISNUMBER(Datos!N9),Datos!N9," - ")</f>
        <v>2644</v>
      </c>
      <c r="AL9" s="229" t="str">
        <f>IF(ISNUMBER(Datos!BW9),Datos!BW9," - ")</f>
        <v xml:space="preserve"> - </v>
      </c>
      <c r="AM9" s="228" t="str">
        <f>IF(ISNUMBER(Datos!BX9),Datos!BX9," - ")</f>
        <v xml:space="preserve"> - </v>
      </c>
      <c r="AN9" s="243"/>
      <c r="AO9" s="260">
        <f>IF(ISNUMBER(((NºAsuntos!I9/NºAsuntos!G9)*11)/factor_trimestre),((NºAsuntos!I9/NºAsuntos!G9)*11)/factor_trimestre," - ")</f>
        <v>4.3598052069675974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4.4004330382729412E-2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176</v>
      </c>
      <c r="G10" s="225">
        <f>IF(ISNUMBER(Datos!I10),Datos!I10," - ")</f>
        <v>176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54</v>
      </c>
      <c r="Z10" s="619">
        <f>IF(ISNUMBER(Datos!Q10),Datos!Q10," - ")</f>
        <v>21</v>
      </c>
      <c r="AA10" s="332">
        <f>IF(ISNUMBER(Datos!L10),Datos!L10,"-")</f>
        <v>175</v>
      </c>
      <c r="AB10" s="334"/>
      <c r="AC10" s="334"/>
      <c r="AD10" s="484"/>
      <c r="AE10" s="484">
        <f>IF(ISNUMBER(Datos!R10),Datos!R10," - ")</f>
        <v>111</v>
      </c>
      <c r="AF10" s="229" t="str">
        <f>IF(ISNUMBER(Datos!BV10),Datos!BV10," - ")</f>
        <v xml:space="preserve"> - </v>
      </c>
      <c r="AG10" s="225" t="str">
        <f>IF(ISNUMBER(Datos!DV10),Datos!DV10," - ")</f>
        <v xml:space="preserve"> - </v>
      </c>
      <c r="AH10" s="298"/>
      <c r="AI10" s="227"/>
      <c r="AJ10" s="225">
        <f>IF(ISNUMBER(Datos!M10),Datos!M10," - ")</f>
        <v>21</v>
      </c>
      <c r="AK10" s="229">
        <f>IF(ISNUMBER(Datos!N10),Datos!N10," - ")</f>
        <v>33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9.7222222222222232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-9.7560975609756101E-2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121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86</v>
      </c>
      <c r="AA11" s="332" t="str">
        <f>IF(ISNUMBER(IF(J_V="SI",Datos!L11,Datos!L11+Datos!AB11)-IF(Monitorios="SI",Datos!CD11,0)),
                          IF(J_V="SI",Datos!L11,Datos!L11+Datos!AB11)-IF(Monitorios="SI",Datos!CD11,0),
                          " - ")</f>
        <v xml:space="preserve"> - </v>
      </c>
      <c r="AB11" s="334"/>
      <c r="AC11" s="334"/>
      <c r="AD11" s="484"/>
      <c r="AE11" s="484">
        <f>IF(ISNUMBER(Datos!R11),Datos!R11," - ")</f>
        <v>826</v>
      </c>
      <c r="AF11" s="229" t="str">
        <f>IF(ISNUMBER(Datos!BV11),Datos!BV11," - ")</f>
        <v xml:space="preserve"> - </v>
      </c>
      <c r="AG11" s="225" t="str">
        <f>IF(ISNUMBER(Datos!DV11),Datos!DV11," - ")</f>
        <v xml:space="preserve"> - </v>
      </c>
      <c r="AH11" s="298"/>
      <c r="AI11" s="227"/>
      <c r="AJ11" s="225">
        <f>IF(ISNUMBER(Datos!M11),Datos!M11," - ")</f>
        <v>155</v>
      </c>
      <c r="AK11" s="229">
        <f>IF(ISNUMBER(Datos!N11),Datos!N11," - ")</f>
        <v>312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2.7136929460580914</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4.4247787610619468E-2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11</v>
      </c>
      <c r="F13" s="898">
        <f>SUBTOTAL(9,F8:F12)</f>
        <v>176</v>
      </c>
      <c r="G13" s="898">
        <f>SUBTOTAL(9,G8:G12)</f>
        <v>176</v>
      </c>
      <c r="H13" s="908"/>
      <c r="I13" s="898">
        <f t="shared" ref="I13:N13" si="0">SUBTOTAL(9,I8:I12)</f>
        <v>0</v>
      </c>
      <c r="J13" s="867">
        <f t="shared" si="0"/>
        <v>0</v>
      </c>
      <c r="K13" s="908">
        <f t="shared" si="0"/>
        <v>0</v>
      </c>
      <c r="L13" s="908">
        <f t="shared" si="0"/>
        <v>0</v>
      </c>
      <c r="M13" s="908">
        <f t="shared" si="0"/>
        <v>0</v>
      </c>
      <c r="N13" s="908">
        <f t="shared" si="0"/>
        <v>2129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54</v>
      </c>
      <c r="Z13" s="907">
        <f t="shared" si="2"/>
        <v>1415</v>
      </c>
      <c r="AA13" s="900">
        <f t="shared" si="2"/>
        <v>175</v>
      </c>
      <c r="AB13" s="900">
        <f t="shared" si="2"/>
        <v>0</v>
      </c>
      <c r="AC13" s="900">
        <f t="shared" si="2"/>
        <v>0</v>
      </c>
      <c r="AD13" s="900">
        <f t="shared" si="2"/>
        <v>0</v>
      </c>
      <c r="AE13" s="900">
        <f t="shared" si="2"/>
        <v>17331</v>
      </c>
      <c r="AF13" s="908">
        <f t="shared" si="2"/>
        <v>0</v>
      </c>
      <c r="AG13" s="908">
        <f t="shared" si="2"/>
        <v>0</v>
      </c>
      <c r="AH13" s="908">
        <f t="shared" si="2"/>
        <v>0</v>
      </c>
      <c r="AI13" s="908">
        <f t="shared" si="2"/>
        <v>0</v>
      </c>
      <c r="AJ13" s="908">
        <f t="shared" si="2"/>
        <v>1273</v>
      </c>
      <c r="AK13" s="908">
        <f t="shared" si="2"/>
        <v>2989</v>
      </c>
      <c r="AL13" s="908">
        <f t="shared" si="2"/>
        <v>0</v>
      </c>
      <c r="AM13" s="908">
        <f t="shared" si="2"/>
        <v>0</v>
      </c>
      <c r="AN13" s="908">
        <f t="shared" si="2"/>
        <v>0</v>
      </c>
      <c r="AO13" s="904">
        <f>IF(ISNUMBER(((NºAsuntos!I13/NºAsuntos!G13)*11)/factor_trimestre),((NºAsuntos!I13/NºAsuntos!G13)*11)/factor_trimestre," - ")</f>
        <v>4.2125572269457159</v>
      </c>
      <c r="AP13" s="910" t="str">
        <f>IF(ISNUMBER(Datos!CI13/Datos!CJ13),Datos!CI13/Datos!CJ13," - ")</f>
        <v xml:space="preserve"> - </v>
      </c>
      <c r="AQ13" s="928">
        <f t="shared" ref="AQ13:AV13" si="3">SUBTOTAL(9,AQ9:AQ12)</f>
        <v>0</v>
      </c>
      <c r="AR13" s="928">
        <f t="shared" si="3"/>
        <v>-9.3088576164072206E-3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7711</v>
      </c>
      <c r="G15" s="225">
        <f>IF(ISNUMBER(IF(D_I="SI",Datos!I15,Datos!I15+Datos!AC15)),IF(D_I="SI",Datos!I15,Datos!I15+Datos!AC15)," - ")</f>
        <v>7699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216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4119</v>
      </c>
      <c r="Z15" s="619">
        <f>IF(ISNUMBER(Datos!Q15),Datos!Q15," - ")</f>
        <v>205</v>
      </c>
      <c r="AA15" s="332">
        <f>IF(ISNUMBER(IF(D_I="SI",Datos!L15,Datos!L15+Datos!AF15)),IF(D_I="SI",Datos!L15,Datos!L15+Datos!AF15)," - ")</f>
        <v>7053</v>
      </c>
      <c r="AB15" s="334"/>
      <c r="AC15" s="334"/>
      <c r="AD15" s="484"/>
      <c r="AE15" s="484">
        <f>IF(ISNUMBER(Datos!R15),Datos!R15," - ")</f>
        <v>489</v>
      </c>
      <c r="AF15" s="229" t="str">
        <f>IF(ISNUMBER(Datos!BV15),Datos!BV15," - ")</f>
        <v xml:space="preserve"> - </v>
      </c>
      <c r="AG15" s="225"/>
      <c r="AH15" s="298"/>
      <c r="AI15" s="227"/>
      <c r="AJ15" s="225">
        <f>IF(ISNUMBER(Datos!M15),Datos!M15," - ")</f>
        <v>459</v>
      </c>
      <c r="AK15" s="229">
        <f>IF(ISNUMBER(Datos!N15),Datos!N15," - ")</f>
        <v>2761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5.1369264384559354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460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278</v>
      </c>
      <c r="Z17" s="619">
        <f>IF(ISNUMBER(Datos!Q17),Datos!Q17," - ")</f>
        <v>1</v>
      </c>
      <c r="AA17" s="332">
        <f>IF(ISNUMBER(Datos!L17),Datos!L17,"-")</f>
        <v>491</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13</v>
      </c>
      <c r="AK17" s="229">
        <f>IF(ISNUMBER(Datos!N17),Datos!N17," - ")</f>
        <v>104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5.2985611510791362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7711</v>
      </c>
      <c r="G18" s="898">
        <f>SUBTOTAL(9,G15:G17)</f>
        <v>8159</v>
      </c>
      <c r="H18" s="932">
        <f>SUBTOTAL(9,H15:H17)</f>
        <v>0</v>
      </c>
      <c r="I18" s="911">
        <f>SUBTOTAL(9,I15:I17)</f>
        <v>0</v>
      </c>
      <c r="J18" s="867">
        <f>SUBTOTAL(9,J14:J17)</f>
        <v>0</v>
      </c>
      <c r="K18" s="932">
        <f t="shared" ref="K18:S18" si="4">SUBTOTAL(9,K15:K17)</f>
        <v>0</v>
      </c>
      <c r="L18" s="932">
        <f t="shared" si="4"/>
        <v>0</v>
      </c>
      <c r="M18" s="932">
        <f t="shared" si="4"/>
        <v>0</v>
      </c>
      <c r="N18" s="932">
        <f t="shared" si="4"/>
        <v>218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4397</v>
      </c>
      <c r="Z18" s="932">
        <f t="shared" si="5"/>
        <v>206</v>
      </c>
      <c r="AA18" s="932">
        <f t="shared" si="5"/>
        <v>7544</v>
      </c>
      <c r="AB18" s="932">
        <f t="shared" si="5"/>
        <v>0</v>
      </c>
      <c r="AC18" s="932">
        <f t="shared" si="5"/>
        <v>0</v>
      </c>
      <c r="AD18" s="932">
        <f t="shared" si="5"/>
        <v>0</v>
      </c>
      <c r="AE18" s="932">
        <f t="shared" si="5"/>
        <v>497</v>
      </c>
      <c r="AF18" s="932">
        <f t="shared" si="5"/>
        <v>0</v>
      </c>
      <c r="AG18" s="932">
        <f t="shared" si="5"/>
        <v>0</v>
      </c>
      <c r="AH18" s="932">
        <f t="shared" si="5"/>
        <v>0</v>
      </c>
      <c r="AI18" s="932">
        <f t="shared" si="5"/>
        <v>0</v>
      </c>
      <c r="AJ18" s="932">
        <f t="shared" si="5"/>
        <v>472</v>
      </c>
      <c r="AK18" s="932">
        <f t="shared" si="5"/>
        <v>2865</v>
      </c>
      <c r="AL18" s="932">
        <f t="shared" si="5"/>
        <v>0</v>
      </c>
      <c r="AM18" s="932">
        <f t="shared" si="5"/>
        <v>0</v>
      </c>
      <c r="AN18" s="932">
        <f t="shared" si="5"/>
        <v>0</v>
      </c>
      <c r="AO18" s="934">
        <f>IF(ISNUMBER(((NºAsuntos!I18/NºAsuntos!G18)*11)/factor_trimestre),((NºAsuntos!I18/NºAsuntos!G18)*11)/factor_trimestre," - ")</f>
        <v>5.1471457812144639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7887</v>
      </c>
      <c r="G19" s="820">
        <f t="shared" si="7"/>
        <v>8335</v>
      </c>
      <c r="H19" s="821">
        <f t="shared" si="7"/>
        <v>0</v>
      </c>
      <c r="I19" s="820">
        <f t="shared" si="7"/>
        <v>0</v>
      </c>
      <c r="J19" s="822">
        <f t="shared" si="7"/>
        <v>0</v>
      </c>
      <c r="K19" s="820">
        <f t="shared" si="7"/>
        <v>0</v>
      </c>
      <c r="L19" s="823">
        <f t="shared" si="7"/>
        <v>0</v>
      </c>
      <c r="M19" s="820">
        <f t="shared" si="7"/>
        <v>0</v>
      </c>
      <c r="N19" s="821">
        <f t="shared" si="7"/>
        <v>2347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4451</v>
      </c>
      <c r="Z19" s="827">
        <f t="shared" si="8"/>
        <v>1621</v>
      </c>
      <c r="AA19" s="828">
        <f t="shared" si="8"/>
        <v>7719</v>
      </c>
      <c r="AB19" s="828">
        <f t="shared" si="8"/>
        <v>0</v>
      </c>
      <c r="AC19" s="828">
        <f t="shared" si="8"/>
        <v>0</v>
      </c>
      <c r="AD19" s="829">
        <f t="shared" si="8"/>
        <v>0</v>
      </c>
      <c r="AE19" s="829">
        <f t="shared" si="8"/>
        <v>17828</v>
      </c>
      <c r="AF19" s="830">
        <f t="shared" si="8"/>
        <v>0</v>
      </c>
      <c r="AG19" s="831">
        <f t="shared" si="8"/>
        <v>0</v>
      </c>
      <c r="AH19" s="832">
        <f t="shared" si="8"/>
        <v>0</v>
      </c>
      <c r="AI19" s="830">
        <f t="shared" si="8"/>
        <v>0</v>
      </c>
      <c r="AJ19" s="820">
        <f t="shared" si="8"/>
        <v>1745</v>
      </c>
      <c r="AK19" s="820">
        <f t="shared" si="8"/>
        <v>5854</v>
      </c>
      <c r="AL19" s="820">
        <f t="shared" si="8"/>
        <v>0</v>
      </c>
      <c r="AM19" s="833">
        <f t="shared" si="8"/>
        <v>0</v>
      </c>
      <c r="AN19" s="823">
        <f>IF(ISNUMBER(Datos!K19/Datos!J19),Datos!K19/Datos!J19," - ")</f>
        <v>1.412056835425576</v>
      </c>
      <c r="AO19" s="823">
        <f>IF(ISNUMBER(FIND("06",Criterios!A8,1)),(IF(ISNUMBER(((Datos!R19/Datos!Q19)*11)/factor_trimestre),((Datos!R19/Datos!Q19)*11)/factor_trimestre," - ")),(IF(ISNUMBER(((Datos!L19/Datos!K19)*11)/factor_trimestre),((Datos!L19/Datos!K19)*11)/factor_trimestre," - ")))</f>
        <v>4.6714536928487691</v>
      </c>
      <c r="AP19" s="834" t="str">
        <f>IF(ISNUMBER(Datos!CI19/Datos!CJ19),Datos!CI19/Datos!CJ19," - ")</f>
        <v xml:space="preserve"> - </v>
      </c>
      <c r="AQ19" s="834">
        <f>IF(OR(ISNUMBER(FIND("01",Criterios!A8,1)),ISNUMBER(FIND("02",Criterios!A8,1)),ISNUMBER(FIND("03",Criterios!A8,1)),ISNUMBER(FIND("04",Criterios!A8,1))),(J19-Y19+K19)/(F19-K19),(I19-Y19+K19)/(F19-K19))</f>
        <v>-0.5643463927982757</v>
      </c>
      <c r="AR19" s="834">
        <f>IF(ISNUMBER((Datos!P19-Datos!Q19+O19)/(Datos!R19-Datos!P19+Datos!Q19-O19)),(Datos!P19-Datos!Q19+O19)/(Datos!R19-Datos!P19+Datos!Q19-O19)," - ")</f>
        <v>4.2451175301134368E-2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3334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4350.3342783438302</v>
      </c>
      <c r="G21" s="552">
        <f>IF(ISNUMBER(STDEV(G8:G18)),STDEV(G8:G18),"-")</f>
        <v>4199.394420627812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506.95557239362938</v>
      </c>
      <c r="AK21" s="252"/>
      <c r="AL21" s="252">
        <f>IF(ISNUMBER(STDEV(AL8:AL18)),STDEV(AL8:AL18),"-")</f>
        <v>0</v>
      </c>
      <c r="AM21" s="254">
        <f>IF(ISNUMBER(STDEV(AM8:AM18)),STDEV(AM8:AM18),"-")</f>
        <v>0</v>
      </c>
      <c r="AN21" s="539">
        <f>IF(ISNUMBER(STDEV(AN8:AN18)),STDEV(AN8:AN18),"-")</f>
        <v>0</v>
      </c>
      <c r="AO21" s="540">
        <f>IF(ISNUMBER(STDEV(AO8:AO18)),STDEV(AO8:AO18),"-")</f>
        <v>2.1727274159000358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LmR/aD3BqwvkckzI6SpuiZi4bxjy7i/jPRWWsXKGfMZdOnM1hC3z1K9AXTjG31sFQGWLerCZs100axduzwYrtQ==" saltValue="v814MRx0RLKc/U3xHMoN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usl/VSsqckxb98+cBjtwUTlhOH5sxCvcHHVKoX9zzSBdXPprINboB+3yUUrzoTwtSrfTFI5lRPjR5B9sNhdw==" saltValue="Ktj3A10m+XUiSmd2A3i2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ZiKWa49+cCbt7mQe2NCi+JAyiznxYvBJZqlwOZpxFqTaIOjs17MRoUH1nfSSUAQMEvbXa3NKAl3+26ssx+j/Q==" saltValue="VCu1+Jzlf8YGcl3cFPd5C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GRANOLLERS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0.20814257684761281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0.1471790275425891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Fjb6imhjTP9J7zTaPq+BKQTdkI0HnN7GJdInskdkarzvuHLa9/L54UtFRhCW+oly4/+lys35c5DgmaHZdsgZEg==" saltValue="f0okBeSazbvScMabGuNd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AYTTiYF4UnNKsi8ctEniqY0jXJYlaO+FwbNc74w+HiNCOAzvD1PYJ74shctyjMeH8YuTYHoe/idrdd6fN112w==" saltValue="1P8AAscomgNECdr4O2Hh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GRANOLLERS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8</v>
      </c>
      <c r="C9" s="403">
        <f>IF(ISNUMBER(IF(J_V="SI",Datos!I9,Datos!I9+Datos!Y9)),IF(J_V="SI",Datos!I9,Datos!I9+Datos!Y9)," - ")</f>
        <v>9977</v>
      </c>
      <c r="D9" s="404">
        <f>IF(ISNUMBER(C9/Datos!BH9),C9/Datos!BH9," - ")</f>
        <v>1247.125</v>
      </c>
      <c r="E9" s="403">
        <f>IF(ISNUMBER(IF(J_V="SI",Datos!J9,Datos!J9+Datos!Z9)),IF(J_V="SI",Datos!J9,Datos!J9+Datos!Z9)," - ")</f>
        <v>3081</v>
      </c>
      <c r="F9" s="404">
        <f>IF(ISNUMBER(E9/B9),E9/B9," - ")</f>
        <v>385.125</v>
      </c>
      <c r="G9" s="403">
        <f>IF(ISNUMBER(IF(J_V="SI",Datos!K9,Datos!K9+Datos!AA9)),IF(J_V="SI",Datos!K9,Datos!K9+Datos!AA9)," - ")</f>
        <v>5339</v>
      </c>
      <c r="H9" s="404">
        <f>IF(ISNUMBER(G9/B9),G9/B9," - ")</f>
        <v>667.375</v>
      </c>
      <c r="I9" s="403">
        <f>IF(ISNUMBER(IF(J_V="SI",Datos!L9,Datos!L9+Datos!AB9)),IF(J_V="SI",Datos!L9,Datos!L9+Datos!AB9)," - ")</f>
        <v>7759</v>
      </c>
      <c r="J9" s="404">
        <f>IF(ISNUMBER(I9/B9),I9/B9," - ")</f>
        <v>969.875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176</v>
      </c>
      <c r="D10" s="404">
        <f>IF(ISNUMBER(C10/Datos!BH10),C10/Datos!BH10," - ")</f>
        <v>176</v>
      </c>
      <c r="E10" s="403">
        <f>IF(ISNUMBER(Datos!J10),Datos!J10," - ")</f>
        <v>53</v>
      </c>
      <c r="F10" s="404">
        <f>IF(ISNUMBER(E10/B10),E10/B10," - ")</f>
        <v>53</v>
      </c>
      <c r="G10" s="403">
        <f>IF(ISNUMBER(Datos!K10),Datos!K10," - ")</f>
        <v>54</v>
      </c>
      <c r="H10" s="404">
        <f>IF(ISNUMBER(G10/B10),G10/B10," - ")</f>
        <v>54</v>
      </c>
      <c r="I10" s="403">
        <f>IF(ISNUMBER(Datos!L10),Datos!L10," - ")</f>
        <v>175</v>
      </c>
      <c r="J10" s="404">
        <f>IF(ISNUMBER(I10/B10),I10/B10," - ")</f>
        <v>175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774</v>
      </c>
      <c r="D11" s="404">
        <f>IF(ISNUMBER(C11/Datos!BH11),C11/Datos!BH11," - ")</f>
        <v>387</v>
      </c>
      <c r="E11" s="403">
        <f>IF(ISNUMBER(IF(J_V="SI",Datos!J11,Datos!J11+Datos!Z11)),IF(J_V="SI",Datos!J11,Datos!J11+Datos!Z11)," - ")</f>
        <v>603</v>
      </c>
      <c r="F11" s="404">
        <f>IF(ISNUMBER(E11/B11),E11/B11," - ")</f>
        <v>301.5</v>
      </c>
      <c r="G11" s="403">
        <f>IF(ISNUMBER(IF(J_V="SI",Datos!K11,Datos!K11+Datos!AA11)),IF(J_V="SI",Datos!K11,Datos!K11+Datos!AA11)," - ")</f>
        <v>723</v>
      </c>
      <c r="H11" s="404">
        <f>IF(ISNUMBER(G11/B11),G11/B11," - ")</f>
        <v>361.5</v>
      </c>
      <c r="I11" s="403">
        <f>IF(ISNUMBER(IF(J_V="SI",Datos!L11,Datos!L11+Datos!AB11)),IF(J_V="SI",Datos!L11,Datos!L11+Datos!AB11)," - ")</f>
        <v>654</v>
      </c>
      <c r="J11" s="404">
        <f>IF(ISNUMBER(I11/B11),I11/B11," - ")</f>
        <v>327</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11</v>
      </c>
      <c r="C13" s="849">
        <f>SUBTOTAL(9,C8:C12)</f>
        <v>10927</v>
      </c>
      <c r="D13" s="850" t="str">
        <f>IF(ISNUMBER(C13/Datos!BI13),C13/Datos!BI13," - ")</f>
        <v xml:space="preserve"> - </v>
      </c>
      <c r="E13" s="849">
        <f>SUBTOTAL(9,E8:E12)</f>
        <v>3737</v>
      </c>
      <c r="F13" s="850">
        <f>IF(ISNUMBER(E13/B13),E13/B13," - ")</f>
        <v>339.72727272727275</v>
      </c>
      <c r="G13" s="849">
        <f>SUBTOTAL(9,G8:G12)</f>
        <v>6116</v>
      </c>
      <c r="H13" s="850">
        <f>IF(ISNUMBER(G13/B13),G13/B13," - ")</f>
        <v>556</v>
      </c>
      <c r="I13" s="849">
        <f>SUBTOTAL(9,I8:I12)</f>
        <v>8588</v>
      </c>
      <c r="J13" s="850">
        <f>IF(ISNUMBER(I13/B13),I13/B13," - ")</f>
        <v>780.72727272727275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7699</v>
      </c>
      <c r="D15" s="404">
        <f>IF(ISNUMBER(C15/Datos!BH15),C15/Datos!BH15," - ")</f>
        <v>1924.75</v>
      </c>
      <c r="E15" s="403">
        <f>IF(ISNUMBER(IF(D_I="SI",Datos!J15,Datos!J15+Datos!AD15)),IF(D_I="SI",Datos!J15,Datos!J15+Datos!AD15)," - ")</f>
        <v>3461</v>
      </c>
      <c r="F15" s="404">
        <f>IF(ISNUMBER(E15/B15),E15/B15," - ")</f>
        <v>865.25</v>
      </c>
      <c r="G15" s="403">
        <f>IF(ISNUMBER(IF(D_I="SI",Datos!K15,Datos!K15+Datos!AE15)),IF(D_I="SI",Datos!K15,Datos!K15+Datos!AE15)," - ")</f>
        <v>4119</v>
      </c>
      <c r="H15" s="404">
        <f>IF(ISNUMBER(G15/B15),G15/B15," - ")</f>
        <v>1029.75</v>
      </c>
      <c r="I15" s="403">
        <f>IF(ISNUMBER(IF(D_I="SI",Datos!L15,Datos!L15+Datos!AF15)),IF(D_I="SI",Datos!L15,Datos!L15+Datos!AF15)," - ")</f>
        <v>7053</v>
      </c>
      <c r="J15" s="404">
        <f>IF(ISNUMBER(I15/B15),I15/B15," - ")</f>
        <v>1763.25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460</v>
      </c>
      <c r="D17" s="404">
        <f>IF(ISNUMBER(C17/Datos!BH17),C17/Datos!BH17," - ")</f>
        <v>460</v>
      </c>
      <c r="E17" s="403">
        <f>IF(ISNUMBER(IF(D_I="SI",Datos!J17,Datos!J17+Datos!AD17)),IF(D_I="SI",Datos!J17,Datos!J17+Datos!AD17)," - ")</f>
        <v>309</v>
      </c>
      <c r="F17" s="404">
        <f>IF(ISNUMBER(E17/B17),E17/B17," - ")</f>
        <v>309</v>
      </c>
      <c r="G17" s="403">
        <f>IF(ISNUMBER(IF(D_I="SI",Datos!K17,Datos!K17+Datos!AE17)),IF(D_I="SI",Datos!K17,Datos!K17+Datos!AE17)," - ")</f>
        <v>278</v>
      </c>
      <c r="H17" s="404">
        <f>IF(ISNUMBER(G17/B17),G17/B17," - ")</f>
        <v>278</v>
      </c>
      <c r="I17" s="403">
        <f>IF(ISNUMBER(IF(D_I="SI",Datos!L17,Datos!L17+Datos!AF17)),IF(D_I="SI",Datos!L17,Datos!L17+Datos!AF17)," - ")</f>
        <v>491</v>
      </c>
      <c r="J17" s="404">
        <f>IF(ISNUMBER(I17/B17),I17/B17," - ")</f>
        <v>491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8159</v>
      </c>
      <c r="D18" s="850" t="str">
        <f>IF(ISNUMBER(C18/Datos!BI18),C18/Datos!BI18," - ")</f>
        <v xml:space="preserve"> - </v>
      </c>
      <c r="E18" s="849">
        <f>SUBTOTAL(9,E14:E17)</f>
        <v>3770</v>
      </c>
      <c r="F18" s="850">
        <f>IF(ISNUMBER(E18/B18),E18/B18," - ")</f>
        <v>754</v>
      </c>
      <c r="G18" s="849">
        <f>SUBTOTAL(9,G14:G17)</f>
        <v>4397</v>
      </c>
      <c r="H18" s="850">
        <f>IF(ISNUMBER(G18/B18),G18/B18," - ")</f>
        <v>879.4</v>
      </c>
      <c r="I18" s="849">
        <f>SUBTOTAL(9,I14:I17)</f>
        <v>7544</v>
      </c>
      <c r="J18" s="850">
        <f>IF(ISNUMBER(I18/B18),I18/B18," - ")</f>
        <v>1508.8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15</v>
      </c>
      <c r="C19" s="794">
        <f>SUBTOTAL(9,C9:C18)</f>
        <v>19086</v>
      </c>
      <c r="D19" s="795" t="str">
        <f>IF(ISNUMBER(C19/Datos!BI19),C19/Datos!BI19," - ")</f>
        <v xml:space="preserve"> - </v>
      </c>
      <c r="E19" s="794">
        <f>SUBTOTAL(9,E9:E18)</f>
        <v>7507</v>
      </c>
      <c r="F19" s="795">
        <f>IF(ISNUMBER(E19/B19),E19/B19," - ")</f>
        <v>500.46666666666664</v>
      </c>
      <c r="G19" s="794">
        <f>SUBTOTAL(9,G9:G18)</f>
        <v>10513</v>
      </c>
      <c r="H19" s="795">
        <f>IF(ISNUMBER(G19/B19),G19/B19," - ")</f>
        <v>700.86666666666667</v>
      </c>
      <c r="I19" s="794">
        <f>SUBTOTAL(9,I9:I18)</f>
        <v>16132</v>
      </c>
      <c r="J19" s="795">
        <f>IF(ISNUMBER(I19/B19),I19/B19," - ")</f>
        <v>1075.4666666666667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4SzgBx5LbbfWhdYFs8EvKFeHsNuHurkWILNfD84D41fvcDwNvHwp+bRdIWxcLJwWhRXYfBF4BzkF9BgxyKY4iw==" saltValue="1JiXU3zO/G8PRUF2ZlZM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GRANOLLERS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176</v>
      </c>
      <c r="G10" s="684">
        <f>IF(ISNUMBER(Datos!I10),Datos!I10," - ")</f>
        <v>176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54</v>
      </c>
      <c r="AC10" s="683" t="str">
        <f>IF(ISNUMBER(IF(D_I="SI",DatosP!K17,DatosP!K17+DatosP!AE17)),IF(D_I="SI",DatosP!K17,DatosP!K17+DatosP!AE17)," - ")</f>
        <v xml:space="preserve"> - </v>
      </c>
      <c r="AD10" s="685"/>
      <c r="AE10" s="685"/>
      <c r="AF10" s="688">
        <f>IF(ISNUMBER(Datos!L10),Datos!L10,"-")</f>
        <v>175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33</v>
      </c>
      <c r="AN10" s="690">
        <f>IF(ISNUMBER(Datos!BW10+DatosP!BW17),Datos!BW10+DatosP!BW17," - ")</f>
        <v>0</v>
      </c>
      <c r="AO10" s="691">
        <f>IF(ISNUMBER(Datos!BX10+DatosP!BX17),Datos!BX10+DatosP!BX17," - ")</f>
        <v>0</v>
      </c>
      <c r="AP10" s="693">
        <f>IF(ISNUMBER(((Datos!L10/Datos!K10)*11)/factor_trimestre),((Datos!L10/Datos!K10)*11)/factor_trimestre," - ")</f>
        <v>9.7222222222222232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11</v>
      </c>
      <c r="F13" s="938">
        <f t="shared" si="0"/>
        <v>176</v>
      </c>
      <c r="G13" s="938">
        <f t="shared" si="0"/>
        <v>176</v>
      </c>
      <c r="H13" s="938">
        <f t="shared" si="0"/>
        <v>0</v>
      </c>
      <c r="I13" s="940">
        <f t="shared" si="0"/>
        <v>0</v>
      </c>
      <c r="J13" s="939">
        <f t="shared" si="0"/>
        <v>0</v>
      </c>
      <c r="K13" s="939">
        <f t="shared" si="0"/>
        <v>0</v>
      </c>
      <c r="L13" s="941">
        <f t="shared" si="0"/>
        <v>0</v>
      </c>
      <c r="M13" s="941">
        <f t="shared" si="0"/>
        <v>0</v>
      </c>
      <c r="N13" s="939">
        <f t="shared" si="0"/>
        <v>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54</v>
      </c>
      <c r="AC13" s="939">
        <f t="shared" si="1"/>
        <v>0</v>
      </c>
      <c r="AD13" s="939">
        <f t="shared" si="1"/>
        <v>0</v>
      </c>
      <c r="AE13" s="939">
        <f t="shared" si="1"/>
        <v>0</v>
      </c>
      <c r="AF13" s="939">
        <f t="shared" si="1"/>
        <v>175</v>
      </c>
      <c r="AG13" s="939">
        <f t="shared" si="1"/>
        <v>0</v>
      </c>
      <c r="AH13" s="939">
        <f t="shared" si="1"/>
        <v>0</v>
      </c>
      <c r="AI13" s="939">
        <f t="shared" si="1"/>
        <v>0</v>
      </c>
      <c r="AJ13" s="939">
        <f t="shared" si="1"/>
        <v>0</v>
      </c>
      <c r="AK13" s="939">
        <f t="shared" si="1"/>
        <v>0</v>
      </c>
      <c r="AL13" s="939">
        <f t="shared" si="1"/>
        <v>21</v>
      </c>
      <c r="AM13" s="939">
        <f t="shared" si="1"/>
        <v>33</v>
      </c>
      <c r="AN13" s="939">
        <f t="shared" si="1"/>
        <v>0</v>
      </c>
      <c r="AO13" s="939">
        <f t="shared" si="1"/>
        <v>0</v>
      </c>
      <c r="AP13" s="944">
        <f>IF(ISNUMBER(((Datos!L13/Datos!K13)*11)/factor_trimestre),((Datos!L13/Datos!K13)*11)/factor_trimestre," - ")</f>
        <v>4.3132385682479883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-0.30681818181818182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5.1471457812144639</v>
      </c>
      <c r="AQ18" s="944">
        <f>IF(ISNUMBER(((Datos!M18/Datos!L18)*11)/factor_trimestre),((Datos!M18/Datos!L18)*11)/factor_trimestre," - ")</f>
        <v>0.18769883351007424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2.4742268041237112E-2</v>
      </c>
      <c r="AW18" s="946">
        <f>IF(ISNUMBER((Datos!Q18-Datos!R18)/(Datos!S18-Datos!Q18+Datos!R18)),(Datos!Q18-Datos!R18)/(Datos!S18-Datos!Q18+Datos!R18)," - ")</f>
        <v>-4.0187819361966581E-2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11</v>
      </c>
      <c r="F19" s="951">
        <f t="shared" si="4"/>
        <v>176</v>
      </c>
      <c r="G19" s="951">
        <f t="shared" si="4"/>
        <v>176</v>
      </c>
      <c r="H19" s="951">
        <f t="shared" si="4"/>
        <v>0</v>
      </c>
      <c r="I19" s="952">
        <f t="shared" si="4"/>
        <v>0</v>
      </c>
      <c r="J19" s="953">
        <f t="shared" si="4"/>
        <v>0</v>
      </c>
      <c r="K19" s="953">
        <f t="shared" si="4"/>
        <v>0</v>
      </c>
      <c r="L19" s="953">
        <f t="shared" si="4"/>
        <v>0</v>
      </c>
      <c r="M19" s="953">
        <f t="shared" si="4"/>
        <v>0</v>
      </c>
      <c r="N19" s="952">
        <f t="shared" si="4"/>
        <v>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54</v>
      </c>
      <c r="AC19" s="957">
        <f t="shared" si="5"/>
        <v>0</v>
      </c>
      <c r="AD19" s="957">
        <f t="shared" si="5"/>
        <v>0</v>
      </c>
      <c r="AE19" s="957">
        <f t="shared" si="5"/>
        <v>0</v>
      </c>
      <c r="AF19" s="958">
        <f t="shared" si="5"/>
        <v>175</v>
      </c>
      <c r="AG19" s="958">
        <f t="shared" si="5"/>
        <v>0</v>
      </c>
      <c r="AH19" s="958">
        <f t="shared" si="5"/>
        <v>0</v>
      </c>
      <c r="AI19" s="958">
        <f t="shared" si="5"/>
        <v>0</v>
      </c>
      <c r="AJ19" s="959">
        <f t="shared" si="5"/>
        <v>0</v>
      </c>
      <c r="AK19" s="959">
        <f t="shared" si="5"/>
        <v>0</v>
      </c>
      <c r="AL19" s="951">
        <f t="shared" si="5"/>
        <v>21</v>
      </c>
      <c r="AM19" s="951">
        <f t="shared" si="5"/>
        <v>33</v>
      </c>
      <c r="AN19" s="951">
        <f t="shared" si="5"/>
        <v>0</v>
      </c>
      <c r="AO19" s="951">
        <f t="shared" si="5"/>
        <v>0</v>
      </c>
      <c r="AP19" s="951">
        <f>IF(ISNUMBER(((Datos!L19/Datos!K19)*11)/factor_trimestre),((Datos!L19/Datos!K19)*11)/factor_trimestre," - ")</f>
        <v>4.6714536928487691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-0.30681818181818182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4.2451175301134368E-2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117.33333333333333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4.6761807778000488</v>
      </c>
      <c r="F21" s="736">
        <f>IF(ISNUMBER(STDEV(F8:F18)),STDEV(F8:F18),"-")</f>
        <v>101.61364737737412</v>
      </c>
      <c r="G21" s="737">
        <f>IF(ISNUMBER(STDEV(G8:G18)),STDEV(G8:G18),"-")</f>
        <v>101.61364737737412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31.176914536239792</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2.9121535516367234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p4xspz7IQBDgqQLFyYcxD4LoOZytYWKRavAz5k4HcfQYl59xnDemQIX74X3VY58p7bEmttDhF7zVLA8noJmMBQ==" saltValue="arwtZePUT4b+0tbdO+G+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GRANOLLERS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E31l2b9jfTj7Wr0jNfGtyH3ZKbM7YQceMVhNQnAZ6u4iDOgj+7pAqcRceMx0R8Wczrq5UimjtgkYYU7wZ1D3bw==" saltValue="Moo92WG6ExOSryp5V6tR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GRANOLLERS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8</v>
      </c>
      <c r="C9" s="410">
        <f>Datos!AQ9</f>
        <v>8</v>
      </c>
      <c r="D9" s="403">
        <f>IF(ISNUMBER(Datos!M9),Datos!M9," - ")</f>
        <v>1097</v>
      </c>
      <c r="E9" s="404">
        <f t="shared" ref="E9:E13" si="0">IF(ISNUMBER(D9/B9),D9/B9," - ")</f>
        <v>137.125</v>
      </c>
      <c r="F9" s="403">
        <f>IF(ISNUMBER(Datos!N9),Datos!N9," - ")</f>
        <v>2644</v>
      </c>
      <c r="G9" s="404">
        <f t="shared" ref="G9:G13" si="1">IF(ISNUMBER(F9/B9),F9/B9," - ")</f>
        <v>330.5</v>
      </c>
      <c r="H9" s="403">
        <f>IF(ISNUMBER(Datos!O9),Datos!O9," - ")</f>
        <v>2260</v>
      </c>
      <c r="I9" s="404">
        <f>IF(ISNUMBER(H9/B9),H9/B9," - ")</f>
        <v>282.5</v>
      </c>
      <c r="BZ9" s="1186">
        <f>Datos!EZ9</f>
        <v>0</v>
      </c>
    </row>
    <row r="10" spans="1:78">
      <c r="A10" s="402" t="str">
        <f>Datos!A10</f>
        <v>Jdos. Violencia contra la mujer</v>
      </c>
      <c r="B10" s="427">
        <f>Datos!AO10</f>
        <v>1</v>
      </c>
      <c r="C10" s="410">
        <f>Datos!AQ10</f>
        <v>1</v>
      </c>
      <c r="D10" s="403">
        <f>IF(ISNUMBER(Datos!M10),Datos!M10," - ")</f>
        <v>21</v>
      </c>
      <c r="E10" s="404">
        <f>IF(ISNUMBER(D10/B10),D10/B10," - ")</f>
        <v>21</v>
      </c>
      <c r="F10" s="403">
        <f>IF(ISNUMBER(Datos!N10),Datos!N10," - ")</f>
        <v>33</v>
      </c>
      <c r="G10" s="404">
        <f>IF(ISNUMBER(F10/B10),F10/B10," - ")</f>
        <v>33</v>
      </c>
      <c r="H10" s="403">
        <f>IF(ISNUMBER(Datos!O10),Datos!O10," - ")</f>
        <v>14</v>
      </c>
      <c r="I10" s="404">
        <f t="shared" ref="I10:I12" si="2">IF(ISNUMBER(H10/B10),H10/B10," - ")</f>
        <v>14</v>
      </c>
      <c r="BZ10" s="1186">
        <f>Datos!EZ10</f>
        <v>0</v>
      </c>
    </row>
    <row r="11" spans="1:78">
      <c r="A11" s="402" t="str">
        <f>Datos!A11</f>
        <v xml:space="preserve">Jdos. Familia                                   </v>
      </c>
      <c r="B11" s="427">
        <f>Datos!AO11</f>
        <v>2</v>
      </c>
      <c r="C11" s="410">
        <f>Datos!AQ11</f>
        <v>2</v>
      </c>
      <c r="D11" s="403">
        <f>IF(ISNUMBER(Datos!M11),Datos!M11," - ")</f>
        <v>155</v>
      </c>
      <c r="E11" s="404">
        <f t="shared" si="0"/>
        <v>77.5</v>
      </c>
      <c r="F11" s="403">
        <f>IF(ISNUMBER(Datos!N11),Datos!N11," - ")</f>
        <v>312</v>
      </c>
      <c r="G11" s="404">
        <f t="shared" si="1"/>
        <v>156</v>
      </c>
      <c r="H11" s="403">
        <f>IF(ISNUMBER(Datos!O11),Datos!O11," - ")</f>
        <v>165</v>
      </c>
      <c r="I11" s="404">
        <f t="shared" si="2"/>
        <v>82.5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11</v>
      </c>
      <c r="C13" s="851">
        <f>Datos!AR13</f>
        <v>11</v>
      </c>
      <c r="D13" s="849">
        <f>SUBTOTAL(9,D9:D12)</f>
        <v>1273</v>
      </c>
      <c r="E13" s="850">
        <f t="shared" si="0"/>
        <v>115.72727272727273</v>
      </c>
      <c r="F13" s="849">
        <f>SUBTOTAL(9,F9:F12)</f>
        <v>2989</v>
      </c>
      <c r="G13" s="850">
        <f t="shared" si="1"/>
        <v>271.72727272727275</v>
      </c>
      <c r="H13" s="849">
        <f>SUBTOTAL(9,H9:H12)</f>
        <v>2439</v>
      </c>
      <c r="I13" s="850">
        <f>IF(ISNUMBER(H13/B13),H13/B13," - ")</f>
        <v>221.72727272727272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459</v>
      </c>
      <c r="E15" s="404">
        <f t="shared" ref="E15:E18" si="3">IF(ISNUMBER(D15/B15),D15/B15," - ")</f>
        <v>114.75</v>
      </c>
      <c r="F15" s="403">
        <f>IF(ISNUMBER(Datos!N15),Datos!N15," - ")</f>
        <v>2761</v>
      </c>
      <c r="G15" s="404">
        <f t="shared" ref="G15:G18" si="4">IF(ISNUMBER(F15/B15),F15/B15," - ")</f>
        <v>690.25</v>
      </c>
      <c r="H15" s="403">
        <f>IF(ISNUMBER(Datos!O15),Datos!O15," - ")</f>
        <v>71</v>
      </c>
      <c r="I15" s="404">
        <f t="shared" ref="I15:I17" si="5">IF(ISNUMBER(H15/B15),H15/B15," - ")</f>
        <v>17.75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13</v>
      </c>
      <c r="E17" s="404">
        <f>IF(ISNUMBER(D17/B17),D17/B17," - ")</f>
        <v>13</v>
      </c>
      <c r="F17" s="403">
        <f>IF(ISNUMBER(Datos!N17),Datos!N17," - ")</f>
        <v>104</v>
      </c>
      <c r="G17" s="404">
        <f>IF(ISNUMBER(F17/B17),F17/B17," - ")</f>
        <v>104</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472</v>
      </c>
      <c r="E18" s="850">
        <f t="shared" si="3"/>
        <v>94.4</v>
      </c>
      <c r="F18" s="849">
        <f>SUBTOTAL(9,F15:F17)</f>
        <v>2865</v>
      </c>
      <c r="G18" s="850">
        <f t="shared" si="4"/>
        <v>573</v>
      </c>
      <c r="H18" s="849">
        <f>SUBTOTAL(9,H15:H17)</f>
        <v>71</v>
      </c>
      <c r="I18" s="850">
        <f>IF(ISNUMBER(H18/B18),H18/B18," - ")</f>
        <v>14.2</v>
      </c>
      <c r="BZ18" s="1186"/>
    </row>
    <row r="19" spans="1:78" ht="14.25" thickTop="1" thickBot="1">
      <c r="A19" s="793" t="str">
        <f>Datos!A19</f>
        <v>TOTAL JURISDICCIONES</v>
      </c>
      <c r="B19" s="794">
        <f>Datos!AP19</f>
        <v>15</v>
      </c>
      <c r="C19" s="794">
        <f>Datos!AR19</f>
        <v>15</v>
      </c>
      <c r="D19" s="794">
        <f>SUBTOTAL(9,D8:D18)</f>
        <v>1745</v>
      </c>
      <c r="E19" s="795">
        <f>IF(ISNUMBER(D19/B19),D19/B19," - ")</f>
        <v>116.33333333333333</v>
      </c>
      <c r="F19" s="794">
        <f>SUBTOTAL(9,F8:F18)</f>
        <v>5854</v>
      </c>
      <c r="G19" s="795">
        <f>IF(ISNUMBER(F19/B19),F19/B19," - ")</f>
        <v>390.26666666666665</v>
      </c>
      <c r="H19" s="794">
        <f>SUBTOTAL(9,H8:H18)</f>
        <v>2510</v>
      </c>
      <c r="I19" s="795">
        <f>IF(ISNUMBER(H19/B19),H19/B19," - ")</f>
        <v>167.33333333333334</v>
      </c>
    </row>
    <row r="22" spans="1:78">
      <c r="A22" s="391" t="str">
        <f>Criterios!A4</f>
        <v>Fecha Informe: 24 sep. 2025</v>
      </c>
    </row>
    <row r="27" spans="1:78">
      <c r="A27" s="414"/>
    </row>
  </sheetData>
  <sheetProtection algorithmName="SHA-512" hashValue="0G14kJaahiyRJwVeMRkBvDYVixbUik3haPxBVPABI5J6YPc1JXuLYtRsf7khdRnx1wldsu19zPzK7dNfjlYSlw==" saltValue="GsYV+8w5oK1OCG3bCp2e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GRANOLLERS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1999</v>
      </c>
      <c r="C9" s="434">
        <f>IF(ISNUMBER(Datos!Q9),Datos!Q9," - ")</f>
        <v>1308</v>
      </c>
      <c r="D9" s="408">
        <f>IF(ISNUMBER(Datos!R9),Datos!R9," - ")</f>
        <v>16394</v>
      </c>
    </row>
    <row r="10" spans="1:4">
      <c r="A10" s="402" t="str">
        <f>Datos!A10</f>
        <v>Jdos. Violencia contra la mujer</v>
      </c>
      <c r="B10" s="433">
        <f>IF(ISNUMBER(Datos!P10),Datos!P10," - ")</f>
        <v>9</v>
      </c>
      <c r="C10" s="434">
        <f>IF(ISNUMBER(Datos!Q10),Datos!Q10," - ")</f>
        <v>21</v>
      </c>
      <c r="D10" s="408">
        <f>IF(ISNUMBER(Datos!R10),Datos!R10," - ")</f>
        <v>111</v>
      </c>
    </row>
    <row r="11" spans="1:4">
      <c r="A11" s="402" t="str">
        <f>Datos!A11</f>
        <v xml:space="preserve">Jdos. Familia                                   </v>
      </c>
      <c r="B11" s="433">
        <f>IF(ISNUMBER(Datos!P11),Datos!P11," - ")</f>
        <v>121</v>
      </c>
      <c r="C11" s="434">
        <f>IF(ISNUMBER(Datos!Q11),Datos!Q11," - ")</f>
        <v>86</v>
      </c>
      <c r="D11" s="408">
        <f>IF(ISNUMBER(Datos!R11),Datos!R11," - ")</f>
        <v>826</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2129</v>
      </c>
      <c r="C13" s="853">
        <f>SUBTOTAL(9,C9:C12)</f>
        <v>1415</v>
      </c>
      <c r="D13" s="851">
        <f>SUBTOTAL(9,D9:D12)</f>
        <v>17331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216</v>
      </c>
      <c r="C15" s="434">
        <f>IF(ISNUMBER(Datos!Q15),Datos!Q15," - ")</f>
        <v>205</v>
      </c>
      <c r="D15" s="408">
        <f>IF(ISNUMBER(Datos!R15),Datos!R15," - ")</f>
        <v>489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v>
      </c>
      <c r="C17" s="434">
        <f>IF(ISNUMBER(Datos!Q17),Datos!Q17," - ")</f>
        <v>1</v>
      </c>
      <c r="D17" s="408">
        <f>IF(ISNUMBER(Datos!R17),Datos!R17," - ")</f>
        <v>8</v>
      </c>
    </row>
    <row r="18" spans="1:4" ht="14.25" thickTop="1" thickBot="1">
      <c r="A18" s="848" t="str">
        <f>Datos!A18</f>
        <v>TOTAL</v>
      </c>
      <c r="B18" s="849">
        <f>SUBTOTAL(9,B15:B17)</f>
        <v>218</v>
      </c>
      <c r="C18" s="853">
        <f>SUBTOTAL(9,C15:C17)</f>
        <v>206</v>
      </c>
      <c r="D18" s="851">
        <f>SUBTOTAL(9,D15:D17)</f>
        <v>497</v>
      </c>
    </row>
    <row r="19" spans="1:4" ht="16.5" customHeight="1" thickTop="1" thickBot="1">
      <c r="A19" s="793" t="str">
        <f>Datos!A19</f>
        <v>TOTAL JURISDICCIONES</v>
      </c>
      <c r="B19" s="798">
        <f>SUBTOTAL(9,B8:B18)</f>
        <v>2347</v>
      </c>
      <c r="C19" s="799">
        <f>SUBTOTAL(9,C8:C18)</f>
        <v>1621</v>
      </c>
      <c r="D19" s="800">
        <f>SUBTOTAL(9,D8:D18)</f>
        <v>17828</v>
      </c>
    </row>
    <row r="20" spans="1:4" ht="7.5" customHeight="1"/>
    <row r="21" spans="1:4" ht="6" customHeight="1"/>
    <row r="22" spans="1:4">
      <c r="A22" s="391" t="str">
        <f>Criterios!A4</f>
        <v>Fecha Informe: 24 sep. 2025</v>
      </c>
    </row>
    <row r="27" spans="1:4">
      <c r="A27" s="414"/>
    </row>
  </sheetData>
  <sheetProtection algorithmName="SHA-512" hashValue="pisUAaP7w5oE+Z5h9nQgM3i6awhB9lF2UJitkV5mzIHaviGfKbeSMpPjSOZi4t/BLQZdqzEkEUXJIYcKde0teA==" saltValue="B7PDeYycScCCbihBxXbg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GRANOLLERS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0.1246759102694172</v>
      </c>
      <c r="C9" s="456">
        <f>IF(ISNUMBER(
   IF(J_V="SI",(Datos!J9-Datos!T9)/Datos!T9,(Datos!J9+Datos!Z9-(Datos!T9+Datos!AH9))/(Datos!T9+Datos!AH9))
     ),IF(J_V="SI",(Datos!J9-Datos!T9)/Datos!T9,(Datos!J9+Datos!Z9-(Datos!T9+Datos!AH9))/(Datos!T9+Datos!AH9))," - ")</f>
        <v>-0.17708333333333334</v>
      </c>
      <c r="D9" s="456">
        <f>IF(ISNUMBER(
   IF(J_V="SI",(Datos!K9-Datos!U9)/Datos!U9,(Datos!K9+Datos!AA9-(Datos!U9+Datos!AI9))/(Datos!U9+Datos!AI9))
     ),IF(J_V="SI",(Datos!K9-Datos!U9)/Datos!U9,(Datos!K9+Datos!AA9-(Datos!U9+Datos!AI9))/(Datos!U9+Datos!AI9))," - ")</f>
        <v>0.42487323191886844</v>
      </c>
      <c r="E9" s="456">
        <f>IF(ISNUMBER(
   IF(J_V="SI",(Datos!L9-Datos!V9)/Datos!V9,(Datos!L9+Datos!AB9-(Datos!V9+Datos!AJ9))/(Datos!V9+Datos!AJ9))
     ),IF(J_V="SI",(Datos!L9-Datos!V9)/Datos!V9,(Datos!L9+Datos!AB9-(Datos!V9+Datos!AJ9))/(Datos!V9+Datos!AJ9))," - ")</f>
        <v>-0.12505638249887235</v>
      </c>
      <c r="F9" s="456">
        <f>IF(ISNUMBER((Datos!M9-Datos!W9)/Datos!W9),(Datos!M9-Datos!W9)/Datos!W9," - ")</f>
        <v>0.2108167770419426</v>
      </c>
      <c r="G9" s="457">
        <f>IF(ISNUMBER((Datos!N9-Datos!X9)/Datos!X9),(Datos!N9-Datos!X9)/Datos!X9," - ")</f>
        <v>0.66603654694391934</v>
      </c>
      <c r="H9" s="455">
        <f>IF(ISNUMBER(((NºAsuntos!G9/NºAsuntos!E9)-Datos!BD9)/Datos!BD9),((NºAsuntos!G9/NºAsuntos!E9)-Datos!BD9)/Datos!BD9," - ")</f>
        <v>0.73149152233178927</v>
      </c>
      <c r="I9" s="456">
        <f>IF(ISNUMBER(((NºAsuntos!I9/NºAsuntos!G9)-Datos!BE9)/Datos!BE9),((NºAsuntos!I9/NºAsuntos!G9)-Datos!BE9)/Datos!BE9," - ")</f>
        <v>-0.38594985301054024</v>
      </c>
      <c r="J9" s="461">
        <f>IF(ISNUMBER((('Resol  Asuntos'!D9/NºAsuntos!G9)-Datos!BF9)/Datos!BF9),(('Resol  Asuntos'!D9/NºAsuntos!G9)-Datos!BF9)/Datos!BF9," - ")</f>
        <v>-0.51487520407487652</v>
      </c>
      <c r="K9" s="462">
        <f>IF(ISNUMBER((((NºAsuntos!C9+NºAsuntos!E9)/NºAsuntos!G9)-Datos!BG9)/Datos!BG9),(((NºAsuntos!C9+NºAsuntos!E9)/NºAsuntos!G9)-Datos!BG9)/Datos!BG9," - ")</f>
        <v>-0.27353753224594829</v>
      </c>
    </row>
    <row r="10" spans="1:11">
      <c r="A10" s="402" t="str">
        <f>Datos!A10</f>
        <v>Jdos. Violencia contra la mujer</v>
      </c>
      <c r="B10" s="455">
        <f>IF(ISNUMBER((Datos!I10-Datos!S10)/Datos!S10),(Datos!I10-Datos!S10)/Datos!S10," - ")</f>
        <v>0.375</v>
      </c>
      <c r="C10" s="456">
        <f>IF(ISNUMBER((Datos!J10-Datos!T10)/Datos!T10),(Datos!J10-Datos!T10)/Datos!T10," - ")</f>
        <v>-0.28378378378378377</v>
      </c>
      <c r="D10" s="456">
        <f>IF(ISNUMBER((Datos!K10-Datos!U10)/Datos!U10),(Datos!K10-Datos!U10)/Datos!U10," - ")</f>
        <v>0.08</v>
      </c>
      <c r="E10" s="456">
        <f>IF(ISNUMBER((Datos!L10-Datos!V10)/Datos!V10),(Datos!L10-Datos!V10)/Datos!V10," - ")</f>
        <v>0.15131578947368421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0.50792452830188684</v>
      </c>
      <c r="I10" s="456">
        <f>IF(ISNUMBER(((NºAsuntos!I10/NºAsuntos!G10)-Datos!BE10)/Datos!BE10),((NºAsuntos!I10/NºAsuntos!G10)-Datos!BE10)/Datos!BE10," - ")</f>
        <v>6.6033138401559499E-2</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4.9688302163549615E-2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-0.25576923076923075</v>
      </c>
      <c r="C11" s="456">
        <f>IF(ISNUMBER(
   IF(J_V="SI",(Datos!J11-Datos!T11)/Datos!T11,(Datos!J11+Datos!Z11-(Datos!T11+Datos!AH11))/(Datos!T11+Datos!AH11))
     ),IF(J_V="SI",(Datos!J11-Datos!T11)/Datos!T11,(Datos!J11+Datos!Z11-(Datos!T11+Datos!AH11))/(Datos!T11+Datos!AH11))," - ")</f>
        <v>-0.10534124629080119</v>
      </c>
      <c r="D11" s="456">
        <f>IF(ISNUMBER(
   IF(J_V="SI",(Datos!K11-Datos!U11)/Datos!U11,(Datos!K11+Datos!AA11-(Datos!U11+Datos!AI11))/(Datos!U11+Datos!AI11))
     ),IF(J_V="SI",(Datos!K11-Datos!U11)/Datos!U11,(Datos!K11+Datos!AA11-(Datos!U11+Datos!AI11))/(Datos!U11+Datos!AI11))," - ")</f>
        <v>-3.5999999999999997E-2</v>
      </c>
      <c r="E11" s="456">
        <f>IF(ISNUMBER(
   IF(J_V="SI",(Datos!L11-Datos!V11)/Datos!V11,(Datos!L11+Datos!AB11-(Datos!V11+Datos!AJ11))/(Datos!V11+Datos!AJ11))
     ),IF(J_V="SI",(Datos!L11-Datos!V11)/Datos!V11,(Datos!L11+Datos!AB11-(Datos!V11+Datos!AJ11))/(Datos!V11+Datos!AJ11))," - ")</f>
        <v>-0.32646755921730175</v>
      </c>
      <c r="F11" s="456">
        <f>IF(ISNUMBER((Datos!M11-Datos!W11)/Datos!W11),(Datos!M11-Datos!W11)/Datos!W11," - ")</f>
        <v>-0.1388888888888889</v>
      </c>
      <c r="G11" s="457">
        <f>IF(ISNUMBER((Datos!N11-Datos!X11)/Datos!X11),(Datos!N11-Datos!X11)/Datos!X11," - ")</f>
        <v>-0.12359550561797752</v>
      </c>
      <c r="H11" s="455">
        <f>IF(ISNUMBER(((NºAsuntos!G11/NºAsuntos!E11)-Datos!BD11)/Datos!BD11),((NºAsuntos!G11/NºAsuntos!E11)-Datos!BD11)/Datos!BD11," - ")</f>
        <v>7.7505804311774548E-2</v>
      </c>
      <c r="I11" s="456">
        <f>IF(ISNUMBER(((NºAsuntos!I11/NºAsuntos!G11)-Datos!BE11)/Datos!BE11),((NºAsuntos!I11/NºAsuntos!G11)-Datos!BE11)/Datos!BE11," - ")</f>
        <v>-0.30131489545363249</v>
      </c>
      <c r="J11" s="461">
        <f>IF(ISNUMBER((('Resol  Asuntos'!D11/NºAsuntos!G11)-Datos!BF11)/Datos!BF11),(('Resol  Asuntos'!D11/NºAsuntos!G11)-Datos!BF11)/Datos!BF11," - ")</f>
        <v>-0.54834724229567811</v>
      </c>
      <c r="K11" s="462">
        <f>IF(ISNUMBER((((NºAsuntos!C11+NºAsuntos!E11)/NºAsuntos!G11)-Datos!BG11)/Datos!BG11),(((NºAsuntos!C11+NºAsuntos!E11)/NºAsuntos!G11)-Datos!BG11)/Datos!BG11," - ")</f>
        <v>-0.16661421440226215</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8.8455025400936346E-2</v>
      </c>
      <c r="C13" s="855">
        <f>IF(ISNUMBER(
   IF(J_V="SI",(Datos!J13-Datos!T13)/Datos!T13,(Datos!J13+Datos!Z13-(Datos!T13+Datos!AH13))/(Datos!T13+Datos!AH13))
     ),IF(J_V="SI",(Datos!J13-Datos!T13)/Datos!T13,(Datos!J13+Datos!Z13-(Datos!T13+Datos!AH13))/(Datos!T13+Datos!AH13))," - ")</f>
        <v>-0.16807658058771149</v>
      </c>
      <c r="D13" s="855">
        <f>IF(ISNUMBER(
   IF(J_V="SI",(Datos!K13-Datos!U13)/Datos!U13,(Datos!K13+Datos!AA13-(Datos!U13+Datos!AI13))/(Datos!U13+Datos!AI13))
     ),IF(J_V="SI",(Datos!K13-Datos!U13)/Datos!U13,(Datos!K13+Datos!AA13-(Datos!U13+Datos!AI13))/(Datos!U13+Datos!AI13))," - ")</f>
        <v>0.34506267868924567</v>
      </c>
      <c r="E13" s="855">
        <f>IF(ISNUMBER(
   IF(J_V="SI",(Datos!L13-Datos!V13)/Datos!V13,(Datos!L13+Datos!AB13-(Datos!V13+Datos!AJ13))/(Datos!V13+Datos!AJ13))
     ),IF(J_V="SI",(Datos!L13-Datos!V13)/Datos!V13,(Datos!L13+Datos!AB13-(Datos!V13+Datos!AJ13))/(Datos!V13+Datos!AJ13))," - ")</f>
        <v>-0.14042638374537084</v>
      </c>
      <c r="F13" s="856">
        <f>IF(ISNUMBER((Datos!M13-Datos!W13)/Datos!W13),(Datos!M13-Datos!W13)/Datos!W13," - ")</f>
        <v>0.17219152854511971</v>
      </c>
      <c r="G13" s="857">
        <f>IF(ISNUMBER((Datos!N13-Datos!X13)/Datos!X13),(Datos!N13-Datos!X13)/Datos!X13," - ")</f>
        <v>0.53834276891405042</v>
      </c>
      <c r="H13" s="857">
        <f>IF(ISNUMBER(((NºAsuntos!G13/NºAsuntos!E13)-Datos!BD13)/Datos!BD13),((NºAsuntos!G13/NºAsuntos!E13)-Datos!BD13)/Datos!BD13," - ")</f>
        <v>0.61681069110840003</v>
      </c>
      <c r="I13" s="857">
        <f>IF(ISNUMBER(((NºAsuntos!I13/NºAsuntos!G13)-Datos!BE13)/Datos!BE13),((NºAsuntos!I13/NºAsuntos!G13)-Datos!BE13)/Datos!BE13," - ")</f>
        <v>-0.36094159040062151</v>
      </c>
      <c r="J13" s="857">
        <f>IF(ISNUMBER((('Resol  Asuntos'!D13/NºAsuntos!G13)-Datos!BF13)/Datos!BF13),(('Resol  Asuntos'!D13/NºAsuntos!G13)-Datos!BF13)/Datos!BF13," - ")</f>
        <v>-0.51290566293047068</v>
      </c>
      <c r="K13" s="857">
        <f>IF(ISNUMBER((((NºAsuntos!C13+NºAsuntos!E13)/NºAsuntos!G13)-Datos!BG13)/Datos!BG13),(((NºAsuntos!C13+NºAsuntos!E13)/NºAsuntos!G13)-Datos!BG13)/Datos!BG13," - ")</f>
        <v>-0.24973544978307807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0.14177665727421029</v>
      </c>
      <c r="C15" s="456">
        <f>IF(ISNUMBER(
   IF(D_I="SI",(Datos!J15-Datos!T15)/Datos!T15,(Datos!J15+Datos!AD15-(Datos!T15+Datos!AL15))/(Datos!T15+Datos!AL15))
     ),IF(D_I="SI",(Datos!J15-Datos!T15)/Datos!T15,(Datos!J15+Datos!AD15-(Datos!T15+Datos!AL15))/(Datos!T15+Datos!AL15))," - ")</f>
        <v>-0.13127510040160642</v>
      </c>
      <c r="D15" s="456">
        <f>IF(ISNUMBER(
   IF(D_I="SI",(Datos!K15-Datos!U15)/Datos!U15,(Datos!K15+Datos!AE15-(Datos!U15+Datos!AM15))/(Datos!U15+Datos!AM15))
     ),IF(D_I="SI",(Datos!K15-Datos!U15)/Datos!U15,(Datos!K15+Datos!AE15-(Datos!U15+Datos!AM15))/(Datos!U15+Datos!AM15))," - ")</f>
        <v>7.4334898278560255E-2</v>
      </c>
      <c r="E15" s="456">
        <f>IF(ISNUMBER(
   IF(D_I="SI",(Datos!L15-Datos!V15)/Datos!V15,(Datos!L15+Datos!AF15-(Datos!V15+Datos!AN15))/(Datos!V15+Datos!AN15))
     ),IF(D_I="SI",(Datos!L15-Datos!V15)/Datos!V15,(Datos!L15+Datos!AF15-(Datos!V15+Datos!AN15))/(Datos!V15+Datos!AN15))," - ")</f>
        <v>1.9809138230190863E-2</v>
      </c>
      <c r="F15" s="456">
        <f>IF(ISNUMBER((Datos!M15-Datos!W15)/Datos!W15),(Datos!M15-Datos!W15)/Datos!W15," - ")</f>
        <v>-0.16847826086956522</v>
      </c>
      <c r="G15" s="457">
        <f>IF(ISNUMBER((Datos!N15-Datos!X15)/Datos!X15),(Datos!N15-Datos!X15)/Datos!X15," - ")</f>
        <v>0.12970540098199673</v>
      </c>
      <c r="H15" s="455">
        <f>IF(ISNUMBER(((NºAsuntos!G15/NºAsuntos!E15)-Datos!BD15)/Datos!BD15),((NºAsuntos!G15/NºAsuntos!E15)-Datos!BD15)/Datos!BD15," - ")</f>
        <v>0.23668021807043746</v>
      </c>
      <c r="I15" s="456">
        <f>IF(ISNUMBER(((NºAsuntos!I15/NºAsuntos!G15)-Datos!BE15)/Datos!BE15),((NºAsuntos!I15/NºAsuntos!G15)-Datos!BE15)/Datos!BE15," - ")</f>
        <v>-5.0753038122225834E-2</v>
      </c>
      <c r="J15" s="461">
        <f>IF(ISNUMBER((('Resol  Asuntos'!D15/NºAsuntos!G15)-Datos!BF15)/Datos!BF15),(('Resol  Asuntos'!D15/NºAsuntos!G15)-Datos!BF15)/Datos!BF15," - ")</f>
        <v>-0.22601253997909998</v>
      </c>
      <c r="K15" s="462">
        <f>IF(ISNUMBER((((NºAsuntos!C15+NºAsuntos!E15)/NºAsuntos!G15)-Datos!BG15)/Datos!BG15),(((NºAsuntos!C15+NºAsuntos!E15)/NºAsuntos!G15)-Datos!BG15)/Datos!BG15," - ")</f>
        <v>-3.1619065259358939E-2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1.2222222222222223</v>
      </c>
      <c r="C17" s="456">
        <f>IF(ISNUMBER(
   IF(D_I="SI",(Datos!J17-Datos!T17)/Datos!T17,(Datos!J17+Datos!AD17-(Datos!T17+Datos!AL17))/(Datos!T17+Datos!AL17))
     ),IF(D_I="SI",(Datos!J17-Datos!T17)/Datos!T17,(Datos!J17+Datos!AD17-(Datos!T17+Datos!AL17))/(Datos!T17+Datos!AL17))," - ")</f>
        <v>3.246753246753247E-3</v>
      </c>
      <c r="D17" s="456">
        <f>IF(ISNUMBER(
   IF(D_I="SI",(Datos!K17-Datos!U17)/Datos!U17,(Datos!K17+Datos!AE17-(Datos!U17+Datos!AM17))/(Datos!U17+Datos!AM17))
     ),IF(D_I="SI",(Datos!K17-Datos!U17)/Datos!U17,(Datos!K17+Datos!AE17-(Datos!U17+Datos!AM17))/(Datos!U17+Datos!AM17))," - ")</f>
        <v>0.15833333333333333</v>
      </c>
      <c r="E17" s="456">
        <f>IF(ISNUMBER(
   IF(D_I="SI",(Datos!L17-Datos!V17)/Datos!V17,(Datos!L17+Datos!AF17-(Datos!V17+Datos!AN17))/(Datos!V17+Datos!AN17))
     ),IF(D_I="SI",(Datos!L17-Datos!V17)/Datos!V17,(Datos!L17+Datos!AF17-(Datos!V17+Datos!AN17))/(Datos!V17+Datos!AN17))," - ")</f>
        <v>0.78545454545454541</v>
      </c>
      <c r="F17" s="456">
        <f>IF(ISNUMBER((Datos!M17-Datos!W17)/Datos!W17),(Datos!M17-Datos!W17)/Datos!W17," - ")</f>
        <v>-0.60606060606060608</v>
      </c>
      <c r="G17" s="457">
        <f>IF(ISNUMBER((Datos!N17-Datos!X17)/Datos!X17),(Datos!N17-Datos!X17)/Datos!X17," - ")</f>
        <v>-0.46113989637305697</v>
      </c>
      <c r="H17" s="455">
        <f>IF(ISNUMBER(((NºAsuntos!G17/NºAsuntos!E17)-Datos!BD17)/Datos!BD17),((NºAsuntos!G17/NºAsuntos!E17)-Datos!BD17)/Datos!BD17," - ")</f>
        <v>0.15458468176914769</v>
      </c>
      <c r="I17" s="456">
        <f>IF(ISNUMBER(((NºAsuntos!I17/NºAsuntos!G17)-Datos!BE17)/Datos!BE17),((NºAsuntos!I17/NºAsuntos!G17)-Datos!BE17)/Datos!BE17," - ")</f>
        <v>0.54139960758665795</v>
      </c>
      <c r="J17" s="461">
        <f>IF(ISNUMBER((('Resol  Asuntos'!D17/NºAsuntos!G17)-Datos!BF17)/Datos!BF17),(('Resol  Asuntos'!D17/NºAsuntos!G17)-Datos!BF17)/Datos!BF17," - ")</f>
        <v>-0.65990843688685419</v>
      </c>
      <c r="K17" s="462">
        <f>IF(ISNUMBER((((NºAsuntos!C17+NºAsuntos!E17)/NºAsuntos!G17)-Datos!BG17)/Datos!BG17),(((NºAsuntos!C17+NºAsuntos!E17)/NºAsuntos!G17)-Datos!BG17)/Datos!BG17," - ")</f>
        <v>0.28909687783753574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0.17395683453237409</v>
      </c>
      <c r="C18" s="855">
        <f>IF(ISNUMBER(
   IF(Criterios!B14="SI",(Datos!J18-Datos!T18)/Datos!T18,(Datos!J18+Datos!AD18-(Datos!T18+Datos!AL18))/(Datos!T18+Datos!AL18))
     ),IF(Criterios!B14="SI",(Datos!J18-Datos!T18)/Datos!T18,(Datos!J18+Datos!AD18-(Datos!T18+Datos!AL18))/(Datos!T18+Datos!AL18))," - ")</f>
        <v>-0.12162162162162163</v>
      </c>
      <c r="D18" s="855">
        <f>IF(ISNUMBER(
   IF(Criterios!B14="SI",(Datos!K18-Datos!U18)/Datos!U18,(Datos!K18+Datos!AE18-(Datos!U18+Datos!AM18))/(Datos!U18+Datos!AM18))
     ),IF(Criterios!B14="SI",(Datos!K18-Datos!U18)/Datos!U18,(Datos!K18+Datos!AE18-(Datos!U18+Datos!AM18))/(Datos!U18+Datos!AM18))," - ")</f>
        <v>7.9283259695630826E-2</v>
      </c>
      <c r="E18" s="855">
        <f>IF(ISNUMBER(
   IF(Criterios!B14="SI",(Datos!L18-Datos!V18)/Datos!V18,(Datos!L18+Datos!AF18-(Datos!V18+Datos!AN18))/(Datos!V18+Datos!AN18))
     ),IF(Criterios!B14="SI",(Datos!L18-Datos!V18)/Datos!V18,(Datos!L18+Datos!AF18-(Datos!V18+Datos!AN18))/(Datos!V18+Datos!AN18))," - ")</f>
        <v>4.9089139201779999E-2</v>
      </c>
      <c r="F18" s="856">
        <f>IF(ISNUMBER((Datos!M18-Datos!W18)/Datos!W18),(Datos!M18-Datos!W18)/Datos!W18," - ")</f>
        <v>-0.19316239316239317</v>
      </c>
      <c r="G18" s="857">
        <f>IF(ISNUMBER((Datos!N18-Datos!X18)/Datos!X18),(Datos!N18-Datos!X18)/Datos!X18," - ")</f>
        <v>8.6461888509670085E-2</v>
      </c>
      <c r="H18" s="857">
        <f>IF(ISNUMBER(((NºAsuntos!G18/NºAsuntos!E18)-Datos!BD18)/Datos!BD18),((NºAsuntos!G18/NºAsuntos!E18)-Datos!BD18)/Datos!BD18," - ")</f>
        <v>0.22872248026887212</v>
      </c>
      <c r="I18" s="857">
        <f>IF(ISNUMBER(((NºAsuntos!I18/NºAsuntos!G18)-Datos!BE18)/Datos!BE18),((NºAsuntos!I18/NºAsuntos!G18)-Datos!BE18)/Datos!BE18," - ")</f>
        <v>-2.7976085260847942E-2</v>
      </c>
      <c r="J18" s="857">
        <f>IF(ISNUMBER((('Resol  Asuntos'!D18/NºAsuntos!G18)-Datos!BF18)/Datos!BF18),(('Resol  Asuntos'!D18/NºAsuntos!G18)-Datos!BF18)/Datos!BF18," - ")</f>
        <v>-0.25243201950047528</v>
      </c>
      <c r="K18" s="857">
        <f>IF(ISNUMBER((((NºAsuntos!C18+NºAsuntos!E18)/NºAsuntos!G18)-Datos!BG18)/Datos!BG18),(((NºAsuntos!C18+NºAsuntos!E18)/NºAsuntos!G18)-Datos!BG18)/Datos!BG18," - ")</f>
        <v>-1.6838153263673685E-2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0.1234328094649479</v>
      </c>
      <c r="C19" s="802">
        <f>IF(ISNUMBER(
   IF(J_V="SI",(Datos!J19-Datos!T19)/Datos!T19,(Datos!J19+Datos!Z19-(Datos!T19+Datos!AH19))/(Datos!T19+Datos!AH19))
     ),IF(J_V="SI",(Datos!J19-Datos!T19)/Datos!T19,(Datos!J19+Datos!Z19-(Datos!T19+Datos!AH19))/(Datos!T19+Datos!AH19))," - ")</f>
        <v>-0.14537795992714025</v>
      </c>
      <c r="D19" s="802">
        <f>IF(ISNUMBER(
   IF(J_V="SI",(Datos!K19-Datos!U19)/Datos!U19,(Datos!K19+Datos!AA19-(Datos!U19+Datos!AI19))/(Datos!U19+Datos!AI19))
     ),IF(J_V="SI",(Datos!K19-Datos!U19)/Datos!U19,(Datos!K19+Datos!AA19-(Datos!U19+Datos!AI19))/(Datos!U19+Datos!AI19))," - ")</f>
        <v>0.21946409929242547</v>
      </c>
      <c r="E19" s="802">
        <f>IF(ISNUMBER(
   IF(J_V="SI",(Datos!L19-Datos!V19)/Datos!V19,(Datos!L19+Datos!AB19-(Datos!V19+Datos!AJ19))/(Datos!V19+Datos!AJ19))
     ),IF(J_V="SI",(Datos!L19-Datos!V19)/Datos!V19,(Datos!L19+Datos!AB19-(Datos!V19+Datos!AJ19))/(Datos!V19+Datos!AJ19))," - ")</f>
        <v>-6.1110464439529742E-2</v>
      </c>
      <c r="F19" s="803">
        <f>IF(ISNUMBER((Datos!M19-Datos!W19)/Datos!W19),(Datos!M19-Datos!W19)/Datos!W19," - ")</f>
        <v>4.4284859365649312E-2</v>
      </c>
      <c r="G19" s="804">
        <f>IF(ISNUMBER((Datos!N19-Datos!X19)/Datos!X19),(Datos!N19-Datos!X19)/Datos!X19," - ")</f>
        <v>0.27816593886462881</v>
      </c>
      <c r="H19" s="805">
        <f>IF(ISNUMBER((Tasas!B19-Datos!BD19)/Datos!BD19),(Tasas!B19-Datos!BD19)/Datos!BD19," - ")</f>
        <v>0.42690457548750049</v>
      </c>
      <c r="I19" s="806">
        <f>IF(ISNUMBER((Tasas!C19-Datos!BE19)/Datos!BE19),(Tasas!C19-Datos!BE19)/Datos!BE19," - ")</f>
        <v>-0.23008021629726871</v>
      </c>
      <c r="J19" s="807">
        <f>IF(ISNUMBER((Tasas!D19-Datos!BF19)/Datos!BF19),(Tasas!D19-Datos!BF19)/Datos!BF19," - ")</f>
        <v>-0.43395710645168672</v>
      </c>
      <c r="K19" s="807">
        <f>IF(ISNUMBER((Tasas!E19-Datos!BG19)/Datos!BG19),(Tasas!E19-Datos!BG19)/Datos!BG19," - ")</f>
        <v>-0.15387731184367587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MrcN/y0Eo7qnCNvfmPdCX0jZ4Od39RctTyyN7iXi5dVyCuljliIYqMEA3Clg9e/udWqZJCFDmMdtKI8ZSvFVw==" saltValue="GLM/jyOv/Kn1FstzDj1R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GRANOLLERS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1.7328789354105809</v>
      </c>
      <c r="C9" s="443">
        <f>IF(ISNUMBER(NºAsuntos!I9/NºAsuntos!G9),NºAsuntos!I9/NºAsuntos!G9," - ")</f>
        <v>1.4532684023225324</v>
      </c>
      <c r="D9" s="444">
        <f>IF(ISNUMBER('Resol  Asuntos'!D9/NºAsuntos!G9),'Resol  Asuntos'!D9/NºAsuntos!G9," - ")</f>
        <v>0.20546918898670163</v>
      </c>
      <c r="E9" s="445">
        <f>IF(ISNUMBER((NºAsuntos!C9+NºAsuntos!E9)/NºAsuntos!G9),(NºAsuntos!C9+NºAsuntos!E9)/NºAsuntos!G9," - ")</f>
        <v>2.4457763626147218</v>
      </c>
      <c r="G9" s="463"/>
    </row>
    <row r="10" spans="1:7">
      <c r="A10" s="402" t="str">
        <f>Datos!A10</f>
        <v>Jdos. Violencia contra la mujer</v>
      </c>
      <c r="B10" s="442">
        <f>IF(ISNUMBER(NºAsuntos!G10/NºAsuntos!E10),NºAsuntos!G10/NºAsuntos!E10," - ")</f>
        <v>1.0188679245283019</v>
      </c>
      <c r="C10" s="443">
        <f>IF(ISNUMBER(NºAsuntos!I10/NºAsuntos!G10),NºAsuntos!I10/NºAsuntos!G10," - ")</f>
        <v>3.2407407407407409</v>
      </c>
      <c r="D10" s="444">
        <f>IF(ISNUMBER('Resol  Asuntos'!D10/NºAsuntos!G10),'Resol  Asuntos'!D10/NºAsuntos!G10," - ")</f>
        <v>0.3888888888888889</v>
      </c>
      <c r="E10" s="445">
        <f>IF(ISNUMBER((NºAsuntos!C10+NºAsuntos!E10)/NºAsuntos!G10),(NºAsuntos!C10+NºAsuntos!E10)/NºAsuntos!G10," - ")</f>
        <v>4.2407407407407405</v>
      </c>
      <c r="G10" s="463"/>
    </row>
    <row r="11" spans="1:7">
      <c r="A11" s="402" t="str">
        <f>Datos!A11</f>
        <v xml:space="preserve">Jdos. Familia                                   </v>
      </c>
      <c r="B11" s="442">
        <f>IF(ISNUMBER(NºAsuntos!G11/NºAsuntos!E11),NºAsuntos!G11/NºAsuntos!E11," - ")</f>
        <v>1.1990049751243781</v>
      </c>
      <c r="C11" s="443">
        <f>IF(ISNUMBER(NºAsuntos!I11/NºAsuntos!G11),NºAsuntos!I11/NºAsuntos!G11," - ")</f>
        <v>0.9045643153526971</v>
      </c>
      <c r="D11" s="444">
        <f>IF(ISNUMBER('Resol  Asuntos'!D11/NºAsuntos!G11),'Resol  Asuntos'!D11/NºAsuntos!G11," - ")</f>
        <v>0.21438450899031811</v>
      </c>
      <c r="E11" s="445">
        <f>IF(ISNUMBER((NºAsuntos!C11+NºAsuntos!E11)/NºAsuntos!G11),(NºAsuntos!C11+NºAsuntos!E11)/NºAsuntos!G11," - ")</f>
        <v>1.904564315352697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1.6366069039336366</v>
      </c>
      <c r="C13" s="859">
        <f>IF(ISNUMBER(NºAsuntos!I13/NºAsuntos!G13),NºAsuntos!I13/NºAsuntos!G13," - ")</f>
        <v>1.4041857423152386</v>
      </c>
      <c r="D13" s="860">
        <f>IF(ISNUMBER('Resol  Asuntos'!D13/NºAsuntos!G13),'Resol  Asuntos'!D13/NºAsuntos!G13," - ")</f>
        <v>0.20814257684761281</v>
      </c>
      <c r="E13" s="861">
        <f>IF(ISNUMBER((NºAsuntos!C13+NºAsuntos!E13)/NºAsuntos!G13),(NºAsuntos!C13+NºAsuntos!E13)/NºAsuntos!G13," - ")</f>
        <v>2.397645519947678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1.1901184628720023</v>
      </c>
      <c r="C15" s="443">
        <f>IF(ISNUMBER(NºAsuntos!I15/NºAsuntos!G15),NºAsuntos!I15/NºAsuntos!G15," - ")</f>
        <v>1.7123088128186452</v>
      </c>
      <c r="D15" s="444">
        <f>IF(ISNUMBER('Resol  Asuntos'!D15/NºAsuntos!G15),'Resol  Asuntos'!D15/NºAsuntos!G15," - ")</f>
        <v>0.11143481427530955</v>
      </c>
      <c r="E15" s="445">
        <f>IF(ISNUMBER((NºAsuntos!C15+NºAsuntos!E15)/NºAsuntos!G15),(NºAsuntos!C15+NºAsuntos!E15)/NºAsuntos!G15," - ")</f>
        <v>2.7093954843408596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0.89967637540453071</v>
      </c>
      <c r="C17" s="443">
        <f>IF(ISNUMBER(NºAsuntos!I17/NºAsuntos!G17),NºAsuntos!I17/NºAsuntos!G17," - ")</f>
        <v>1.7661870503597121</v>
      </c>
      <c r="D17" s="444">
        <f>IF(ISNUMBER('Resol  Asuntos'!D17/NºAsuntos!G17),'Resol  Asuntos'!D17/NºAsuntos!G17," - ")</f>
        <v>4.6762589928057555E-2</v>
      </c>
      <c r="E17" s="445">
        <f>IF(ISNUMBER((NºAsuntos!C17+NºAsuntos!E17)/NºAsuntos!G17),(NºAsuntos!C17+NºAsuntos!E17)/NºAsuntos!G17," - ")</f>
        <v>2.7661870503597124</v>
      </c>
      <c r="G17" s="463"/>
    </row>
    <row r="18" spans="1:7" ht="14.25" thickTop="1" thickBot="1">
      <c r="A18" s="848" t="str">
        <f>Datos!A18</f>
        <v>TOTAL</v>
      </c>
      <c r="B18" s="858">
        <f>IF(ISNUMBER(NºAsuntos!G18/NºAsuntos!E18),NºAsuntos!G18/NºAsuntos!E18," - ")</f>
        <v>1.1663129973474802</v>
      </c>
      <c r="C18" s="859">
        <f>IF(ISNUMBER(NºAsuntos!I18/NºAsuntos!G18),NºAsuntos!I18/NºAsuntos!G18," - ")</f>
        <v>1.7157152604048214</v>
      </c>
      <c r="D18" s="862">
        <f>IF(ISNUMBER('Resol  Asuntos'!D18/NºAsuntos!G18),'Resol  Asuntos'!D18/NºAsuntos!G18," - ")</f>
        <v>0.10734591767113941</v>
      </c>
      <c r="E18" s="861">
        <f>IF(ISNUMBER((NºAsuntos!C18+NºAsuntos!E18)/NºAsuntos!G18),(NºAsuntos!C18+NºAsuntos!E18)/NºAsuntos!G18," - ")</f>
        <v>2.712986126904708</v>
      </c>
      <c r="G18" s="463"/>
    </row>
    <row r="19" spans="1:7" ht="15.75" customHeight="1" thickTop="1" thickBot="1">
      <c r="A19" s="793" t="str">
        <f>Datos!A19</f>
        <v>TOTAL JURISDICCIONES</v>
      </c>
      <c r="B19" s="808">
        <f>IF(ISNUMBER(NºAsuntos!G19/NºAsuntos!E19),NºAsuntos!G19/NºAsuntos!E19," - ")</f>
        <v>1.400426268815772</v>
      </c>
      <c r="C19" s="809">
        <f>IF(ISNUMBER(NºAsuntos!I19/NºAsuntos!G19),NºAsuntos!I19/NºAsuntos!G19," - ")</f>
        <v>1.534481118615048</v>
      </c>
      <c r="D19" s="810">
        <f>IF(ISNUMBER('Resol  Asuntos'!D19/NºAsuntos!G19),'Resol  Asuntos'!D19/NºAsuntos!G19," - ")</f>
        <v>0.1659849709883002</v>
      </c>
      <c r="E19" s="811">
        <f>IF(ISNUMBER((NºAsuntos!C19+NºAsuntos!E19)/NºAsuntos!G19),(NºAsuntos!C19+NºAsuntos!E19)/NºAsuntos!G19," - ")</f>
        <v>2.5295348615999238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9PmRVvimmKEOlmuzt85AEbyiKtQo1PARdgAVp85U4N6zCtiKRR+5jMud+CZ2ffSqM1bF5GfJh69/CoV2/7MsA==" saltValue="ryvaZFVw19PTYdQDDD3u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GRANOLLERS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1999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1308</v>
      </c>
      <c r="Y9" s="334">
        <f>SUM(W9:X9)</f>
        <v>1308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16394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1097</v>
      </c>
      <c r="AJ9" s="229" t="str">
        <f>IF(ISNUMBER(Datos!BW9),Datos!BW9," - ")</f>
        <v xml:space="preserve"> - </v>
      </c>
      <c r="AK9" s="228" t="str">
        <f>IF(ISNUMBER(Datos!BX9),Datos!BX9," - ")</f>
        <v xml:space="preserve"> - </v>
      </c>
      <c r="AL9" s="243">
        <f>IF(ISNUMBER(NºAsuntos!G9/NºAsuntos!E9),NºAsuntos!G9/NºAsuntos!E9," - ")</f>
        <v>1.7328789354105809</v>
      </c>
      <c r="AM9" s="260">
        <f>IF(ISNUMBER(((NºAsuntos!I9/NºAsuntos!G9)*11)/factor_trimestre),((NºAsuntos!I9/NºAsuntos!G9)*11)/factor_trimestre," - ")</f>
        <v>4.3598052069675974</v>
      </c>
      <c r="AN9" s="244">
        <f>IF(ISNUMBER('Resol  Asuntos'!D9/NºAsuntos!G9),'Resol  Asuntos'!D9/NºAsuntos!G9," - ")</f>
        <v>0.20546918898670163</v>
      </c>
      <c r="AO9" s="245">
        <f>IF(ISNUMBER((NºAsuntos!C9+NºAsuntos!E9)/NºAsuntos!G9),(NºAsuntos!C9+NºAsuntos!E9)/NºAsuntos!G9," - ")</f>
        <v>2.4457763626147218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176</v>
      </c>
      <c r="G10" s="333">
        <f>IF(ISNUMBER(Datos!I10),Datos!I10," - ")</f>
        <v>176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54</v>
      </c>
      <c r="X10" s="226">
        <f>IF(ISNUMBER(Datos!Q10),Datos!Q10," - ")</f>
        <v>21</v>
      </c>
      <c r="Y10" s="334">
        <f t="shared" ref="Y10:Y12" si="0">SUM(W10:X10)</f>
        <v>75</v>
      </c>
      <c r="Z10" s="335" t="str">
        <f>IF(ISNUMBER(Datos!CC10),Datos!CC10," - ")</f>
        <v xml:space="preserve"> - </v>
      </c>
      <c r="AA10" s="332">
        <f>IF(ISNUMBER(Datos!L10),Datos!L10,"-")</f>
        <v>175</v>
      </c>
      <c r="AB10" s="334">
        <f>IF(ISNUMBER(Datos!R10),Datos!R10," - ")</f>
        <v>111</v>
      </c>
      <c r="AC10" s="334">
        <f t="shared" ref="AC10:AC12" si="1">IF(ISNUMBER(AA10+AB10),AA10+AB10," - ")</f>
        <v>286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1.0188679245283019</v>
      </c>
      <c r="AM10" s="260">
        <f>IF(ISNUMBER(((NºAsuntos!I10/NºAsuntos!G10)*11)/factor_trimestre),((NºAsuntos!I10/NºAsuntos!G10)*11)/factor_trimestre," - ")</f>
        <v>9.7222222222222232</v>
      </c>
      <c r="AN10" s="244">
        <f>IF(ISNUMBER('Resol  Asuntos'!D10/NºAsuntos!G10),'Resol  Asuntos'!D10/NºAsuntos!G10," - ")</f>
        <v>0.3888888888888889</v>
      </c>
      <c r="AO10" s="245">
        <f>IF(ISNUMBER((NºAsuntos!C10+NºAsuntos!E10)/NºAsuntos!G10),(NºAsuntos!C10+NºAsuntos!E10)/NºAsuntos!G10," - ")</f>
        <v>4.2407407407407405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121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86</v>
      </c>
      <c r="Y11" s="334">
        <f t="shared" si="0"/>
        <v>86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826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155</v>
      </c>
      <c r="AJ11" s="231" t="str">
        <f>IF(ISNUMBER(Datos!BW11),Datos!BW11," - ")</f>
        <v xml:space="preserve"> - </v>
      </c>
      <c r="AK11" s="232" t="str">
        <f>IF(ISNUMBER(Datos!BX11),Datos!BX11," - ")</f>
        <v xml:space="preserve"> - </v>
      </c>
      <c r="AL11" s="243">
        <f>IF(ISNUMBER(NºAsuntos!G11/NºAsuntos!E11),NºAsuntos!G11/NºAsuntos!E11," - ")</f>
        <v>1.1990049751243781</v>
      </c>
      <c r="AM11" s="260">
        <f>IF(ISNUMBER(((NºAsuntos!I11/NºAsuntos!G11)*11)/factor_trimestre),((NºAsuntos!I11/NºAsuntos!G11)*11)/factor_trimestre," - ")</f>
        <v>2.7136929460580914</v>
      </c>
      <c r="AN11" s="244">
        <f>IF(ISNUMBER('Resol  Asuntos'!D11/NºAsuntos!G11),'Resol  Asuntos'!D11/NºAsuntos!G11," - ")</f>
        <v>0.21438450899031811</v>
      </c>
      <c r="AO11" s="245">
        <f>IF(ISNUMBER((NºAsuntos!C11+NºAsuntos!E11)/NºAsuntos!G11),(NºAsuntos!C11+NºAsuntos!E11)/NºAsuntos!G11," - ")</f>
        <v>1.904564315352697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v>
      </c>
      <c r="F13" s="865">
        <f t="shared" si="3"/>
        <v>176</v>
      </c>
      <c r="G13" s="866">
        <f t="shared" si="3"/>
        <v>176</v>
      </c>
      <c r="H13" s="865">
        <f t="shared" si="3"/>
        <v>0</v>
      </c>
      <c r="I13" s="867">
        <f t="shared" si="3"/>
        <v>0</v>
      </c>
      <c r="J13" s="867">
        <f t="shared" si="3"/>
        <v>0</v>
      </c>
      <c r="K13" s="867">
        <f t="shared" si="3"/>
        <v>0</v>
      </c>
      <c r="L13" s="867">
        <f t="shared" si="3"/>
        <v>2129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54</v>
      </c>
      <c r="X13" s="867">
        <f t="shared" si="4"/>
        <v>1415</v>
      </c>
      <c r="Y13" s="868">
        <f t="shared" si="4"/>
        <v>1469</v>
      </c>
      <c r="Z13" s="868">
        <f t="shared" si="4"/>
        <v>0</v>
      </c>
      <c r="AA13" s="868">
        <f t="shared" si="4"/>
        <v>175</v>
      </c>
      <c r="AB13" s="868">
        <f t="shared" si="4"/>
        <v>17331</v>
      </c>
      <c r="AC13" s="868">
        <f t="shared" si="4"/>
        <v>286</v>
      </c>
      <c r="AD13" s="868">
        <f t="shared" si="4"/>
        <v>0</v>
      </c>
      <c r="AE13" s="872">
        <f t="shared" si="4"/>
        <v>0</v>
      </c>
      <c r="AF13" s="865">
        <f t="shared" si="4"/>
        <v>0</v>
      </c>
      <c r="AG13" s="873">
        <f t="shared" si="4"/>
        <v>0</v>
      </c>
      <c r="AH13" s="870">
        <f t="shared" si="4"/>
        <v>0</v>
      </c>
      <c r="AI13" s="865">
        <f t="shared" si="4"/>
        <v>1273</v>
      </c>
      <c r="AJ13" s="867">
        <f t="shared" si="4"/>
        <v>0</v>
      </c>
      <c r="AK13" s="870">
        <f>SUBTOTAL(9,AK9:AK12)</f>
        <v>0</v>
      </c>
      <c r="AL13" s="874">
        <f>IF(ISNUMBER(NºAsuntos!G13/NºAsuntos!E13),NºAsuntos!G13/NºAsuntos!E13," - ")</f>
        <v>1.6366069039336366</v>
      </c>
      <c r="AM13" s="874">
        <f>IF(ISNUMBER(((NºAsuntos!I13/NºAsuntos!G13)*11)/factor_trimestre),((NºAsuntos!I13/NºAsuntos!G13)*11)/factor_trimestre," - ")</f>
        <v>4.2125572269457159</v>
      </c>
      <c r="AN13" s="875">
        <f>IF(ISNUMBER('Resol  Asuntos'!D13/NºAsuntos!G13),'Resol  Asuntos'!D13/NºAsuntos!G13," - ")</f>
        <v>0.20814257684761281</v>
      </c>
      <c r="AO13" s="876">
        <f>IF(ISNUMBER((NºAsuntos!C13+NºAsuntos!E13)/NºAsuntos!G13),(NºAsuntos!C13+NºAsuntos!E13)/NºAsuntos!G13," - ")</f>
        <v>2.397645519947678</v>
      </c>
      <c r="AP13" s="877" t="str">
        <f t="shared" si="2"/>
        <v xml:space="preserve"> - </v>
      </c>
      <c r="AQ13" s="877">
        <f>IF(ISNUMBER((H13-W13+K13)/(F13)),(H13-W13+K13)/(F13)," - ")</f>
        <v>-0.30681818181818182</v>
      </c>
      <c r="AR13" s="878">
        <f>IF(ISNUMBER((Datos!P13-Datos!Q13)/(Datos!R13-Datos!P13+Datos!Q13)),(Datos!P13-Datos!Q13)/(Datos!R13-Datos!P13+Datos!Q13)," - ")</f>
        <v>4.2968044773424807E-2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7711</v>
      </c>
      <c r="G15" s="333">
        <f>IF(ISNUMBER(IF(D_I="SI",Datos!I15,Datos!I15+Datos!AC15)),IF(D_I="SI",Datos!I15,Datos!I15+Datos!AC15)," - ")</f>
        <v>7699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216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4119</v>
      </c>
      <c r="X15" s="226">
        <f>IF(ISNUMBER(Datos!Q15),Datos!Q15," - ")</f>
        <v>205</v>
      </c>
      <c r="Y15" s="334">
        <f>SUM(W15)</f>
        <v>4119</v>
      </c>
      <c r="Z15" s="335" t="str">
        <f>IF(ISNUMBER(Datos!CC15),Datos!CC15," - ")</f>
        <v xml:space="preserve"> - </v>
      </c>
      <c r="AA15" s="332">
        <f>IF(ISNUMBER(IF(D_I="SI",Datos!L15,Datos!L15+Datos!AF15)),IF(D_I="SI",Datos!L15,Datos!L15+Datos!AF15)," - ")</f>
        <v>7053</v>
      </c>
      <c r="AB15" s="334">
        <f>IF(ISNUMBER(Datos!R15),Datos!R15," - ")</f>
        <v>489</v>
      </c>
      <c r="AC15" s="334">
        <f t="shared" ref="AC15:AC17" si="6">IF(ISNUMBER(AA15+AB15),AA15+AB15," - ")</f>
        <v>7542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459</v>
      </c>
      <c r="AJ15" s="231" t="str">
        <f>IF(ISNUMBER(Datos!BW15),Datos!BW15," - ")</f>
        <v xml:space="preserve"> - </v>
      </c>
      <c r="AK15" s="232" t="str">
        <f>IF(ISNUMBER(Datos!BX15),Datos!BX15," - ")</f>
        <v xml:space="preserve"> - </v>
      </c>
      <c r="AL15" s="243">
        <f>IF(ISNUMBER(NºAsuntos!G15/NºAsuntos!E15),NºAsuntos!G15/NºAsuntos!E15," - ")</f>
        <v>1.1901184628720023</v>
      </c>
      <c r="AM15" s="260">
        <f>IF(ISNUMBER(((NºAsuntos!I15/NºAsuntos!G15)*11)/factor_trimestre),((NºAsuntos!I15/NºAsuntos!G15)*11)/factor_trimestre," - ")</f>
        <v>5.1369264384559354</v>
      </c>
      <c r="AN15" s="244">
        <f>IF(ISNUMBER('Resol  Asuntos'!D15/NºAsuntos!G15),'Resol  Asuntos'!D15/NºAsuntos!G15," - ")</f>
        <v>0.11143481427530955</v>
      </c>
      <c r="AO15" s="245">
        <f>IF(ISNUMBER((NºAsuntos!C15+NºAsuntos!E15)/NºAsuntos!G15),(NºAsuntos!C15+NºAsuntos!E15)/NºAsuntos!G15," - ")</f>
        <v>2.7093954843408596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460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278</v>
      </c>
      <c r="X17" s="226">
        <f>IF(ISNUMBER(Datos!Q17),Datos!Q17," - ")</f>
        <v>1</v>
      </c>
      <c r="Y17" s="334">
        <f t="shared" si="7"/>
        <v>279</v>
      </c>
      <c r="Z17" s="335" t="str">
        <f>IF(ISNUMBER(Datos!CC17),Datos!CC17," - ")</f>
        <v xml:space="preserve"> - </v>
      </c>
      <c r="AA17" s="332">
        <f>IF(ISNUMBER(Datos!L17),Datos!L17,"-")</f>
        <v>491</v>
      </c>
      <c r="AB17" s="334">
        <f>IF(ISNUMBER(Datos!R17),Datos!R17," - ")</f>
        <v>8</v>
      </c>
      <c r="AC17" s="334">
        <f t="shared" si="6"/>
        <v>499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0.89967637540453071</v>
      </c>
      <c r="AM17" s="260">
        <f>IF(ISNUMBER(((NºAsuntos!I17/NºAsuntos!G17)*11)/factor_trimestre),((NºAsuntos!I17/NºAsuntos!G17)*11)/factor_trimestre," - ")</f>
        <v>5.2985611510791362</v>
      </c>
      <c r="AN17" s="244">
        <f>IF(ISNUMBER('Resol  Asuntos'!D17/NºAsuntos!G17),'Resol  Asuntos'!D17/NºAsuntos!G17," - ")</f>
        <v>4.6762589928057555E-2</v>
      </c>
      <c r="AO17" s="245">
        <f>IF(ISNUMBER((NºAsuntos!C17+NºAsuntos!E17)/NºAsuntos!G17),(NºAsuntos!C17+NºAsuntos!E17)/NºAsuntos!G17," - ")</f>
        <v>2.7661870503597124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7711</v>
      </c>
      <c r="G18" s="866">
        <f>SUBTOTAL(9,G15:G17)</f>
        <v>8159</v>
      </c>
      <c r="H18" s="865">
        <f t="shared" ref="H18:O18" si="10">SUBTOTAL(9,H14:H17)</f>
        <v>0</v>
      </c>
      <c r="I18" s="867">
        <f t="shared" si="10"/>
        <v>0</v>
      </c>
      <c r="J18" s="867">
        <f t="shared" si="10"/>
        <v>0</v>
      </c>
      <c r="K18" s="867">
        <f t="shared" si="10"/>
        <v>0</v>
      </c>
      <c r="L18" s="867">
        <f t="shared" si="10"/>
        <v>218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4397</v>
      </c>
      <c r="X18" s="867">
        <f t="shared" si="11"/>
        <v>206</v>
      </c>
      <c r="Y18" s="868">
        <f t="shared" si="11"/>
        <v>4398</v>
      </c>
      <c r="Z18" s="868">
        <f t="shared" si="11"/>
        <v>0</v>
      </c>
      <c r="AA18" s="868">
        <f t="shared" si="11"/>
        <v>7544</v>
      </c>
      <c r="AB18" s="868">
        <f t="shared" si="11"/>
        <v>497</v>
      </c>
      <c r="AC18" s="868">
        <f t="shared" si="11"/>
        <v>8041</v>
      </c>
      <c r="AD18" s="868">
        <f t="shared" si="11"/>
        <v>0</v>
      </c>
      <c r="AE18" s="872">
        <f t="shared" si="11"/>
        <v>0</v>
      </c>
      <c r="AF18" s="865">
        <f t="shared" si="11"/>
        <v>0</v>
      </c>
      <c r="AG18" s="873">
        <f t="shared" si="11"/>
        <v>0</v>
      </c>
      <c r="AH18" s="870">
        <f t="shared" si="11"/>
        <v>0</v>
      </c>
      <c r="AI18" s="865">
        <f t="shared" si="11"/>
        <v>472</v>
      </c>
      <c r="AJ18" s="867">
        <f t="shared" si="11"/>
        <v>0</v>
      </c>
      <c r="AK18" s="870">
        <f t="shared" si="11"/>
        <v>0</v>
      </c>
      <c r="AL18" s="874">
        <f>IF(ISNUMBER(NºAsuntos!G18/NºAsuntos!E18),NºAsuntos!G18/NºAsuntos!E18," - ")</f>
        <v>1.1663129973474802</v>
      </c>
      <c r="AM18" s="874">
        <f>IF(ISNUMBER(((NºAsuntos!I18/NºAsuntos!G18)*11)/factor_trimestre),((NºAsuntos!I18/NºAsuntos!G18)*11)/factor_trimestre," - ")</f>
        <v>5.1471457812144639</v>
      </c>
      <c r="AN18" s="875">
        <f>IF(ISNUMBER('Resol  Asuntos'!D18/NºAsuntos!G18),'Resol  Asuntos'!D18/NºAsuntos!G18," - ")</f>
        <v>0.10734591767113941</v>
      </c>
      <c r="AO18" s="876">
        <f>IF(ISNUMBER((NºAsuntos!C18+NºAsuntos!E18)/NºAsuntos!G18),(NºAsuntos!C18+NºAsuntos!E18)/NºAsuntos!G18," - ")</f>
        <v>2.712986126904708</v>
      </c>
      <c r="AP18" s="877" t="str">
        <f t="shared" si="2"/>
        <v xml:space="preserve"> - </v>
      </c>
      <c r="AQ18" s="877">
        <f>IF(ISNUMBER((H18-W18+K18)/(F18)),(H18-W18+K18)/(F18)," - ")</f>
        <v>-0.57022435481779277</v>
      </c>
      <c r="AR18" s="878">
        <f>IF(ISNUMBER((Datos!P18-Datos!Q18)/(Datos!R18-Datos!P18+Datos!Q18)),(Datos!P18-Datos!Q18)/(Datos!R18-Datos!P18+Datos!Q18)," - ")</f>
        <v>2.4742268041237112E-2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7887</v>
      </c>
      <c r="G19" s="821">
        <f t="shared" si="13"/>
        <v>8335</v>
      </c>
      <c r="H19" s="820">
        <f t="shared" si="13"/>
        <v>0</v>
      </c>
      <c r="I19" s="822">
        <f t="shared" si="13"/>
        <v>0</v>
      </c>
      <c r="J19" s="822">
        <f t="shared" si="13"/>
        <v>0</v>
      </c>
      <c r="K19" s="881">
        <f t="shared" si="13"/>
        <v>0</v>
      </c>
      <c r="L19" s="822">
        <f t="shared" si="13"/>
        <v>2347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4451</v>
      </c>
      <c r="X19" s="821">
        <f t="shared" si="14"/>
        <v>1621</v>
      </c>
      <c r="Y19" s="828">
        <f t="shared" si="14"/>
        <v>5867</v>
      </c>
      <c r="Z19" s="828">
        <f t="shared" si="14"/>
        <v>0</v>
      </c>
      <c r="AA19" s="828">
        <f t="shared" si="14"/>
        <v>7719</v>
      </c>
      <c r="AB19" s="828">
        <f t="shared" si="14"/>
        <v>17828</v>
      </c>
      <c r="AC19" s="828">
        <f t="shared" si="14"/>
        <v>8327</v>
      </c>
      <c r="AD19" s="828">
        <f t="shared" si="14"/>
        <v>0</v>
      </c>
      <c r="AE19" s="830">
        <f t="shared" si="14"/>
        <v>0</v>
      </c>
      <c r="AF19" s="831">
        <f t="shared" si="14"/>
        <v>0</v>
      </c>
      <c r="AG19" s="832">
        <f t="shared" si="14"/>
        <v>0</v>
      </c>
      <c r="AH19" s="830">
        <f t="shared" si="14"/>
        <v>0</v>
      </c>
      <c r="AI19" s="820">
        <f t="shared" si="14"/>
        <v>1745</v>
      </c>
      <c r="AJ19" s="820">
        <f t="shared" si="14"/>
        <v>0</v>
      </c>
      <c r="AK19" s="830">
        <f t="shared" si="14"/>
        <v>0</v>
      </c>
      <c r="AL19" s="884">
        <f>IF(ISNUMBER(NºAsuntos!G19/NºAsuntos!E19),NºAsuntos!G19/NºAsuntos!E19," - ")</f>
        <v>1.400426268815772</v>
      </c>
      <c r="AM19" s="885">
        <f>IF(ISNUMBER(((NºAsuntos!I19/NºAsuntos!G19)*11)/factor_trimestre),((NºAsuntos!I19/NºAsuntos!G19)*11)/factor_trimestre," - ")</f>
        <v>4.603443355845144</v>
      </c>
      <c r="AN19" s="885">
        <f>IF(ISNUMBER('Resol  Asuntos'!D19/NºAsuntos!G19),'Resol  Asuntos'!D19/NºAsuntos!G19," - ")</f>
        <v>0.1659849709883002</v>
      </c>
      <c r="AO19" s="886">
        <f>IF(ISNUMBER((NºAsuntos!C19+NºAsuntos!E19)/NºAsuntos!G19),(NºAsuntos!C19+NºAsuntos!E19)/NºAsuntos!G19," - ")</f>
        <v>2.5295348615999238</v>
      </c>
      <c r="AP19" s="887" t="str">
        <f t="shared" si="2"/>
        <v xml:space="preserve"> - </v>
      </c>
      <c r="AQ19" s="888">
        <f>IF(OR(ISNUMBER(FIND("01",Criterios!A8,1)),ISNUMBER(FIND("02",Criterios!A8,1)),ISNUMBER(FIND("03",Criterios!A8,1)),ISNUMBER(FIND("04",Criterios!A8,1))),(I19-W19+K19)/(F19-K19),(H19-W19+K19)/(F19-K19))</f>
        <v>-0.5643463927982757</v>
      </c>
      <c r="AR19" s="889">
        <f>IF(ISNUMBER((Datos!P19-Datos!Q19)/(Datos!R19-Datos!P19+Datos!Q19)),(Datos!P19-Datos!Q19)/(Datos!R19-Datos!P19+Datos!Q19)," - ")</f>
        <v>4.2451175301134368E-2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3334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3.844187531556932</v>
      </c>
      <c r="F21" s="252">
        <f>IF(ISNUMBER(STDEV(F8:F18)),STDEV(F8:F18),"-")</f>
        <v>4350.3342783438302</v>
      </c>
      <c r="G21" s="253">
        <f>IF(ISNUMBER(STDEV(G8:G18)),STDEV(G8:G18),"-")</f>
        <v>4199.394420627812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2265.7098887545158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506.95557239362938</v>
      </c>
      <c r="AJ21" s="252">
        <f t="shared" si="18"/>
        <v>0</v>
      </c>
      <c r="AK21" s="254">
        <f t="shared" si="18"/>
        <v>0</v>
      </c>
      <c r="AL21" s="249">
        <f t="shared" si="18"/>
        <v>0.30841731687120222</v>
      </c>
      <c r="AM21" s="250">
        <f t="shared" si="18"/>
        <v>2.1727274159000358</v>
      </c>
      <c r="AN21" s="250">
        <f t="shared" si="18"/>
        <v>0.11099376256537366</v>
      </c>
      <c r="AO21" s="251">
        <f t="shared" si="18"/>
        <v>0.72529313561354247</v>
      </c>
      <c r="AP21" s="291" t="str">
        <f t="shared" si="18"/>
        <v>-</v>
      </c>
      <c r="AQ21" s="292">
        <f t="shared" si="18"/>
        <v>0.18625629113442163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tYauVSp7iKeV94e4zrank28BKpbI7WgPXeR7Pl606Cxi2+CcQiKCudTvTRafPBhBr+zH/ZdZWaE9GIj4sRVJA==" saltValue="1vEH1P/GqjE8XAhO2Wj+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GRANOLLERS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0.2108167770419426</v>
      </c>
      <c r="I9" s="350">
        <f>IF(ISNUMBER((Tasas!C9-Datos!BE9)/Datos!BE9),(Tasas!C9-Datos!BE9)/Datos!BE9," - ")</f>
        <v>-0.38594985301054024</v>
      </c>
      <c r="J9" s="349">
        <f>IF(ISNUMBER((Tasas!D9-Datos!BF9)/Datos!BF9),(Tasas!D9-Datos!BF9)/Datos!BF9," - ")</f>
        <v>-0.51487520407487652</v>
      </c>
      <c r="K9" s="351">
        <f>IF(ISNUMBER((Tasas!E9-Datos!BG9)/Datos!BG9),(Tasas!E9-Datos!BG9)/Datos!BG9," - ")</f>
        <v>-0.27353753224594829</v>
      </c>
      <c r="M9" t="e">
        <f>IF(Monitorios="SI",Datos!CE9,0)</f>
        <v>#REF!</v>
      </c>
      <c r="N9" t="e">
        <f>IF(Monitorios="SI",Datos!CF9,0)</f>
        <v>#REF!</v>
      </c>
      <c r="O9" t="e">
        <f>IF(Monitorios="SI",Datos!CG9,0)</f>
        <v>#REF!</v>
      </c>
      <c r="P9" t="e">
        <f>IF(Monitorios="SI",Datos!CH9,0)</f>
        <v>#REF!</v>
      </c>
      <c r="Q9">
        <f>IF(J_V="SI",0,Datos!AG9)</f>
        <v>133</v>
      </c>
      <c r="R9">
        <f>IF(J_V="SI",0,Datos!AH9)</f>
        <v>180</v>
      </c>
      <c r="S9">
        <f>IF(J_V="SI",0,Datos!AI9)</f>
        <v>177</v>
      </c>
      <c r="T9">
        <f>IF(J_V="SI",0,Datos!AJ9)</f>
        <v>136</v>
      </c>
    </row>
    <row r="10" spans="2:20" ht="14.25">
      <c r="B10" s="275" t="s">
        <v>246</v>
      </c>
      <c r="C10" s="7" t="str">
        <f>Datos!A10</f>
        <v>Jdos. Violencia contra la mujer</v>
      </c>
      <c r="D10" s="352">
        <f>IF(ISNUMBER((Datos!I10-Datos!S10)/Datos!S10),(Datos!I10-Datos!S10)/Datos!S10," - ")</f>
        <v>0.375</v>
      </c>
      <c r="E10" s="348">
        <f>IF(ISNUMBER((Datos!J10-Datos!T10)/Datos!T10),(Datos!J10-Datos!T10)/Datos!T10," - ")</f>
        <v>-0.28378378378378377</v>
      </c>
      <c r="F10" s="348">
        <f>IF(ISNUMBER((Datos!K10-Datos!U10)/Datos!U10),(Datos!K10-Datos!U10)/Datos!U10," - ")</f>
        <v>0.08</v>
      </c>
      <c r="G10" s="349">
        <f>IF(ISNUMBER((Datos!L10-Datos!V10)/Datos!V10),(Datos!L10-Datos!V10)/Datos!V10," - ")</f>
        <v>0.15131578947368421</v>
      </c>
      <c r="H10" s="230" t="str">
        <f>IF(ISNUMBER((Datos!M10-Datos!W10)/Datos!W10),(Datos!M10-Datos!W10)/Datos!W10," - ")</f>
        <v xml:space="preserve"> - </v>
      </c>
      <c r="I10" s="350">
        <f>IF(ISNUMBER((Tasas!C10-Datos!BE10)/Datos!BE10),(Tasas!C10-Datos!BE10)/Datos!BE10," - ")</f>
        <v>6.6033138401559499E-2</v>
      </c>
      <c r="J10" s="349" t="str">
        <f>IF(ISNUMBER((Tasas!D10-Datos!BF10)/Datos!BF10),(Tasas!D10-Datos!BF10)/Datos!BF10," - ")</f>
        <v xml:space="preserve"> - </v>
      </c>
      <c r="K10" s="351">
        <f>IF(ISNUMBER((Tasas!E10-Datos!BG10)/Datos!BG10),(Tasas!E10-Datos!BG10)/Datos!BG10," - ")</f>
        <v>4.9688302163549615E-2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-0.1388888888888889</v>
      </c>
      <c r="I11" s="350">
        <f>IF(ISNUMBER((Tasas!C11-Datos!BE11)/Datos!BE11),(Tasas!C11-Datos!BE11)/Datos!BE11," - ")</f>
        <v>-0.30131489545363249</v>
      </c>
      <c r="J11" s="349">
        <f>IF(ISNUMBER((Tasas!D11-Datos!BF11)/Datos!BF11),(Tasas!D11-Datos!BF11)/Datos!BF11," - ")</f>
        <v>-0.54834724229567811</v>
      </c>
      <c r="K11" s="351">
        <f>IF(ISNUMBER((Tasas!E11-Datos!BG11)/Datos!BG11),(Tasas!E11-Datos!BG11)/Datos!BG11," - ")</f>
        <v>-0.16661421440226215</v>
      </c>
      <c r="M11" t="e">
        <f>IF(Monitorios="SI",Datos!CE11,0)</f>
        <v>#REF!</v>
      </c>
      <c r="N11" t="e">
        <f>IF(Monitorios="SI",Datos!CF11,0)</f>
        <v>#REF!</v>
      </c>
      <c r="O11" t="e">
        <f>IF(Monitorios="SI",Datos!CG11,0)</f>
        <v>#REF!</v>
      </c>
      <c r="P11" t="e">
        <f>IF(Monitorios="SI",Datos!CH11,0)</f>
        <v>#REF!</v>
      </c>
      <c r="Q11">
        <f>IF(J_V="SI",0,Datos!AG11)</f>
        <v>72</v>
      </c>
      <c r="R11">
        <f>IF(J_V="SI",0,Datos!AH11)</f>
        <v>217</v>
      </c>
      <c r="S11">
        <f>IF(J_V="SI",0,Datos!AI11)</f>
        <v>182</v>
      </c>
      <c r="T11">
        <f>IF(J_V="SI",0,Datos!AJ11)</f>
        <v>107</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0.17219152854511971</v>
      </c>
      <c r="I13" s="357">
        <f>IF(ISNUMBER((Tasas!C13-Datos!BE13)/Datos!BE13),(Tasas!C13-Datos!BE13)/Datos!BE13," - ")</f>
        <v>-0.36094159040062151</v>
      </c>
      <c r="J13" s="355">
        <f>IF(ISNUMBER((Tasas!D13-Datos!BF13)/Datos!BF13),(Tasas!D13-Datos!BF13)/Datos!BF13," - ")</f>
        <v>-0.51290566293047068</v>
      </c>
      <c r="K13" s="358">
        <f>IF(ISNUMBER((Tasas!E13-Datos!BG13)/Datos!BG13),(Tasas!E13-Datos!BG13)/Datos!BG13," - ")</f>
        <v>-0.24973544978307807</v>
      </c>
      <c r="M13" t="e">
        <f>IF(Monitorios="SI",Datos!CE13,0)</f>
        <v>#REF!</v>
      </c>
      <c r="N13" t="e">
        <f>IF(Monitorios="SI",Datos!CF13,0)</f>
        <v>#REF!</v>
      </c>
      <c r="O13" t="e">
        <f>IF(Monitorios="SI",Datos!CG13,0)</f>
        <v>#REF!</v>
      </c>
      <c r="P13" t="e">
        <f>IF(Monitorios="SI",Datos!CH13,0)</f>
        <v>#REF!</v>
      </c>
      <c r="Q13">
        <f>IF(J_V="SI",0,Datos!AG13)</f>
        <v>205</v>
      </c>
      <c r="R13">
        <f>IF(J_V="SI",0,Datos!AH13)</f>
        <v>397</v>
      </c>
      <c r="S13">
        <f>IF(J_V="SI",0,Datos!AI13)</f>
        <v>359</v>
      </c>
      <c r="T13">
        <f>IF(J_V="SI",0,Datos!AJ13)</f>
        <v>243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0.14177665727421029</v>
      </c>
      <c r="E15" s="348">
        <f>IF(ISNUMBER(
   IF(D_I="SI",(Datos!J15-Datos!T15)/Datos!T15,(Datos!J15+Datos!AD15-(Datos!T15+Datos!AL15))/(Datos!T15+Datos!AL15))
     ),IF(D_I="SI",(Datos!J15-Datos!T15)/Datos!T15,(Datos!J15+Datos!AD15-(Datos!T15+Datos!AL15))/(Datos!T15+Datos!AL15))," - ")</f>
        <v>-0.13127510040160642</v>
      </c>
      <c r="F15" s="348">
        <f>IF(ISNUMBER(
   IF(D_I="SI",(Datos!K15-Datos!U15)/Datos!U15,(Datos!K15+Datos!AE15-(Datos!U15+Datos!AM15))/(Datos!U15+Datos!AM15))
     ),IF(D_I="SI",(Datos!K15-Datos!U15)/Datos!U15,(Datos!K15+Datos!AE15-(Datos!U15+Datos!AM15))/(Datos!U15+Datos!AM15))," - ")</f>
        <v>7.4334898278560255E-2</v>
      </c>
      <c r="G15" s="349">
        <f>IF(ISNUMBER(
   IF(D_I="SI",(Datos!L15-Datos!V15)/Datos!V15,(Datos!L15+Datos!AF15-(Datos!V15+Datos!AN15))/(Datos!V15+Datos!AN15))
     ),IF(D_I="SI",(Datos!L15-Datos!V15)/Datos!V15,(Datos!L15+Datos!AF15-(Datos!V15+Datos!AN15))/(Datos!V15+Datos!AN15))," - ")</f>
        <v>1.9809138230190863E-2</v>
      </c>
      <c r="H15" s="230">
        <f>IF(ISNUMBER((Datos!M15-Datos!W15)/Datos!W15),(Datos!M15-Datos!W15)/Datos!W15," - ")</f>
        <v>-0.16847826086956522</v>
      </c>
      <c r="I15" s="350">
        <f>IF(ISNUMBER((Tasas!C15-Datos!BE15)/Datos!BE15),(Tasas!C15-Datos!BE15)/Datos!BE15," - ")</f>
        <v>-5.0753038122225834E-2</v>
      </c>
      <c r="J15" s="349">
        <f>IF(ISNUMBER((Tasas!D15-Datos!BF15)/Datos!BF15),(Tasas!D15-Datos!BF15)/Datos!BF15," - ")</f>
        <v>-0.22601253997909998</v>
      </c>
      <c r="K15" s="351">
        <f>IF(ISNUMBER((Tasas!E15-Datos!BG15)/Datos!BG15),(Tasas!E15-Datos!BG15)/Datos!BG15," - ")</f>
        <v>-3.1619065259358939E-2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1.2222222222222223</v>
      </c>
      <c r="E17" s="348">
        <f>IF(ISNUMBER(
   IF(D_I="SI",(Datos!J17-Datos!T17)/Datos!T17,(Datos!J17+Datos!AD17-(Datos!T17+Datos!AL17))/(Datos!T17+Datos!AL17))
     ),IF(D_I="SI",(Datos!J17-Datos!T17)/Datos!T17,(Datos!J17+Datos!AD17-(Datos!T17+Datos!AL17))/(Datos!T17+Datos!AL17))," - ")</f>
        <v>3.246753246753247E-3</v>
      </c>
      <c r="F17" s="348">
        <f>IF(ISNUMBER(
   IF(D_I="SI",(Datos!K17-Datos!U17)/Datos!U17,(Datos!K17+Datos!AE17-(Datos!U17+Datos!AM17))/(Datos!U17+Datos!AM17))
     ),IF(D_I="SI",(Datos!K17-Datos!U17)/Datos!U17,(Datos!K17+Datos!AE17-(Datos!U17+Datos!AM17))/(Datos!U17+Datos!AM17))," - ")</f>
        <v>0.15833333333333333</v>
      </c>
      <c r="G17" s="349">
        <f>IF(ISNUMBER(
   IF(D_I="SI",(Datos!L17-Datos!V17)/Datos!V17,(Datos!L17+Datos!AF17-(Datos!V17+Datos!AN17))/(Datos!V17+Datos!AN17))
     ),IF(D_I="SI",(Datos!L17-Datos!V17)/Datos!V17,(Datos!L17+Datos!AF17-(Datos!V17+Datos!AN17))/(Datos!V17+Datos!AN17))," - ")</f>
        <v>0.78545454545454541</v>
      </c>
      <c r="H17" s="230">
        <f>IF(ISNUMBER((Datos!M17-Datos!W17)/Datos!W17),(Datos!M17-Datos!W17)/Datos!W17," - ")</f>
        <v>-0.60606060606060608</v>
      </c>
      <c r="I17" s="350">
        <f>IF(ISNUMBER((Tasas!C17-Datos!BE17)/Datos!BE17),(Tasas!C17-Datos!BE17)/Datos!BE17," - ")</f>
        <v>0.54139960758665795</v>
      </c>
      <c r="J17" s="349">
        <f>IF(ISNUMBER((Tasas!D17-Datos!BF17)/Datos!BF17),(Tasas!D17-Datos!BF17)/Datos!BF17," - ")</f>
        <v>-0.65990843688685419</v>
      </c>
      <c r="K17" s="351">
        <f>IF(ISNUMBER((Tasas!E17-Datos!BG17)/Datos!BG17),(Tasas!E17-Datos!BG17)/Datos!BG17," - ")</f>
        <v>0.28909687783753574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0.17395683453237409</v>
      </c>
      <c r="E18" s="354">
        <f>IF(ISNUMBER(
   IF(D_I="SI",(Datos!J18-Datos!T18)/Datos!T18,(Datos!J18+Datos!AD18-(Datos!T18+Datos!AL18))/(Datos!T18+Datos!AL18))
     ),IF(D_I="SI",(Datos!J18-Datos!T18)/Datos!T18,(Datos!J18+Datos!AD18-(Datos!T18+Datos!AL18))/(Datos!T18+Datos!AL18))," - ")</f>
        <v>-0.12162162162162163</v>
      </c>
      <c r="F18" s="354">
        <f>IF(ISNUMBER(
   IF(D_I="SI",(Datos!K18-Datos!U18)/Datos!U18,(Datos!K18+Datos!AE18-(Datos!U18+Datos!AM18))/(Datos!U18+Datos!AM18))
     ),IF(D_I="SI",(Datos!K18-Datos!U18)/Datos!U18,(Datos!K18+Datos!AE18-(Datos!U18+Datos!AM18))/(Datos!U18+Datos!AM18))," - ")</f>
        <v>7.9283259695630826E-2</v>
      </c>
      <c r="G18" s="355">
        <f>IF(ISNUMBER(
   IF(D_I="SI",(Datos!L18-Datos!V18)/Datos!V18,(Datos!L18+Datos!AF18-(Datos!V18+Datos!AN18))/(Datos!V18+Datos!AN18))
     ),IF(D_I="SI",(Datos!L18-Datos!V18)/Datos!V18,(Datos!L18+Datos!AF18-(Datos!V18+Datos!AN18))/(Datos!V18+Datos!AN18))," - ")</f>
        <v>4.9089139201779999E-2</v>
      </c>
      <c r="H18" s="356">
        <f>IF(ISNUMBER((Datos!M18-Datos!W18)/Datos!W18),(Datos!M18-Datos!W18)/Datos!W18," - ")</f>
        <v>-0.19316239316239317</v>
      </c>
      <c r="I18" s="357">
        <f>IF(ISNUMBER((Tasas!C18-Datos!BE18)/Datos!BE18),(Tasas!C18-Datos!BE18)/Datos!BE18," - ")</f>
        <v>-2.7976085260847942E-2</v>
      </c>
      <c r="J18" s="355">
        <f>IF(ISNUMBER((Tasas!D18-Datos!BF18)/Datos!BF18),(Tasas!D18-Datos!BF18)/Datos!BF18," - ")</f>
        <v>-0.25243201950047528</v>
      </c>
      <c r="K18" s="358">
        <f>IF(ISNUMBER((Tasas!E18-Datos!BG18)/Datos!BG18),(Tasas!E18-Datos!BG18)/Datos!BG18," - ")</f>
        <v>-1.6838153263673685E-2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0.1234328094649479</v>
      </c>
      <c r="E19" s="363">
        <f>IF(ISNUMBER(
   IF(J_V="SI",(Datos!J19-Datos!T19)/Datos!T19,(Datos!J19+Datos!Z19-(Datos!T19+Datos!AH19))/(Datos!T19+Datos!AH19))
     ),IF(J_V="SI",(Datos!J19-Datos!T19)/Datos!T19,(Datos!J19+Datos!Z19-(Datos!T19+Datos!AH19))/(Datos!T19+Datos!AH19))," - ")</f>
        <v>-0.14537795992714025</v>
      </c>
      <c r="F19" s="363">
        <f>IF(ISNUMBER(
   IF(J_V="SI",(Datos!K19-Datos!U19)/Datos!U19,(Datos!K19+Datos!AA19-(Datos!U19+Datos!AI19))/(Datos!U19+Datos!AI19))
     ),IF(J_V="SI",(Datos!K19-Datos!U19)/Datos!U19,(Datos!K19+Datos!AA19-(Datos!U19+Datos!AI19))/(Datos!U19+Datos!AI19))," - ")</f>
        <v>0.21946409929242547</v>
      </c>
      <c r="G19" s="364">
        <f>IF(ISNUMBER(
   IF(J_V="SI",(Datos!L19-Datos!V19)/Datos!V19,(Datos!L19+Datos!AB19-(Datos!V19+Datos!AJ19))/(Datos!V19+Datos!AJ19))
     ),IF(J_V="SI",(Datos!L19-Datos!V19)/Datos!V19,(Datos!L19+Datos!AB19-(Datos!V19+Datos!AJ19))/(Datos!V19+Datos!AJ19))," - ")</f>
        <v>-6.1110464439529742E-2</v>
      </c>
      <c r="H19" s="365">
        <f>IF(ISNUMBER((Datos!M19-Datos!W19)/Datos!W19),(Datos!M19-Datos!W19)/Datos!W19," - ")</f>
        <v>4.4284859365649312E-2</v>
      </c>
      <c r="I19" s="362">
        <f>IF(ISNUMBER((Tasas!C19-Datos!BE19)/Datos!BE19),(Tasas!C19-Datos!BE19)/Datos!BE19," - ")</f>
        <v>-0.23008021629726871</v>
      </c>
      <c r="J19" s="363">
        <f>IF(ISNUMBER((Tasas!D19-Datos!BF19)/Datos!BF19),(Tasas!D19-Datos!BF19)/Datos!BF19," - ")</f>
        <v>-0.43395710645168672</v>
      </c>
      <c r="K19" s="364">
        <f>IF(ISNUMBER((Tasas!E19-Datos!BG19)/Datos!BG19),(Tasas!E19-Datos!BG19)/Datos!BG19," - ")</f>
        <v>-0.15387731184367587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0.50661091920175283</v>
      </c>
      <c r="E21" s="278">
        <f t="shared" si="1"/>
        <v>0.1175171704957501</v>
      </c>
      <c r="F21" s="278">
        <f t="shared" si="1"/>
        <v>4.030907230366005E-2</v>
      </c>
      <c r="G21" s="279">
        <f t="shared" si="1"/>
        <v>0.36046040799354673</v>
      </c>
      <c r="H21" s="285">
        <f t="shared" si="1"/>
        <v>0.29635386668527935</v>
      </c>
      <c r="I21" s="277">
        <f t="shared" si="1"/>
        <v>0.32462914867819076</v>
      </c>
      <c r="J21" s="278">
        <f t="shared" si="1"/>
        <v>0.1738207037367194</v>
      </c>
      <c r="K21" s="279">
        <f t="shared" si="1"/>
        <v>0.19556469357760334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vt7iaDa1VInfCTsVDWtY015GY00OI8jExF05JF6cG1xh2FDxw2rQheGqZ4Uj4xii7fn6wGeNwBrvYAT38hIfQ==" saltValue="VDKkWoFCxnXzyBOxC1JB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